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autoCompressPictures="0"/>
  <mc:AlternateContent xmlns:mc="http://schemas.openxmlformats.org/markup-compatibility/2006">
    <mc:Choice Requires="x15">
      <x15ac:absPath xmlns:x15ac="http://schemas.microsoft.com/office/spreadsheetml/2010/11/ac" url="I:\Quality\3-Team\70_Materials_Management\Conflict_Minerals\EMRT_1_02_May_2022\"/>
    </mc:Choice>
  </mc:AlternateContent>
  <xr:revisionPtr revIDLastSave="0" documentId="13_ncr:1_{C339F476-6D07-4948-B913-AC08EFDB445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77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V5" i="5" l="1"/>
  <c r="AB5" i="5"/>
  <c r="AB6" i="5"/>
  <c r="AB7" i="5"/>
  <c r="AB8" i="5"/>
  <c r="G61" i="6"/>
  <c r="B16" i="6"/>
  <c r="F24" i="6"/>
  <c r="F61" i="6"/>
  <c r="H61" i="6"/>
  <c r="C4" i="5"/>
  <c r="F64" i="6"/>
  <c r="D4" i="5"/>
  <c r="E4"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G15" i="6"/>
  <c r="H15" i="6"/>
  <c r="G16" i="6"/>
  <c r="H16" i="6"/>
  <c r="F20" i="6"/>
  <c r="G20" i="6"/>
  <c r="H20" i="6"/>
  <c r="F21" i="6"/>
  <c r="H21" i="6"/>
  <c r="B23" i="6"/>
  <c r="G23" i="6"/>
  <c r="H23" i="6"/>
  <c r="H24" i="6"/>
  <c r="F28" i="6"/>
  <c r="B28" i="6"/>
  <c r="G28" i="6"/>
  <c r="H28" i="6"/>
  <c r="F33" i="6"/>
  <c r="B33" i="6"/>
  <c r="G33" i="6"/>
  <c r="H33" i="6"/>
  <c r="F34" i="6"/>
  <c r="H34" i="6"/>
  <c r="F38" i="6"/>
  <c r="B38" i="6"/>
  <c r="G38" i="6"/>
  <c r="H38" i="6"/>
  <c r="F39" i="6"/>
  <c r="H39" i="6"/>
  <c r="F43" i="6"/>
  <c r="B43" i="6"/>
  <c r="G43" i="6"/>
  <c r="H43" i="6"/>
  <c r="F44" i="6"/>
  <c r="H44"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V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9" i="5"/>
  <c r="B10" i="5"/>
  <c r="B11" i="5"/>
  <c r="B12" i="5"/>
  <c r="B13" i="5"/>
  <c r="B14" i="5"/>
  <c r="B15" i="5"/>
  <c r="G21" i="6"/>
  <c r="B84" i="4"/>
  <c r="P35" i="4"/>
  <c r="P34" i="4"/>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G1420" i="5"/>
  <c r="J2100" i="5"/>
  <c r="J2492" i="5"/>
  <c r="I1420" i="5"/>
  <c r="H1788" i="5"/>
  <c r="F1420"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16" i="5"/>
  <c r="V10" i="5"/>
  <c r="AB9" i="5"/>
  <c r="V9" i="5"/>
  <c r="AB13" i="5"/>
  <c r="G14" i="5"/>
  <c r="V15" i="5"/>
  <c r="F15" i="5"/>
  <c r="AB14" i="5"/>
  <c r="AB11" i="5"/>
  <c r="V16" i="5"/>
  <c r="R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<sst xmlns="http://schemas.openxmlformats.org/spreadsheetml/2006/main" count="15142" uniqueCount="12831">
  <si>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</si>
  <si>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</si>
  <si>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</si>
  <si>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</si>
  <si>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</si>
  <si>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</si>
  <si>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</si>
  <si>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</si>
  <si>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</si>
  <si>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</si>
  <si>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</si>
  <si>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</si>
  <si>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</si>
  <si>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</si>
  <si>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</si>
  <si>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</si>
  <si>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</si>
  <si>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</si>
  <si>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</si>
  <si>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</si>
  <si>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</si>
  <si>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</si>
  <si>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</si>
  <si>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</si>
  <si>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</si>
  <si>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</si>
  <si>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</si>
  <si>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</si>
  <si>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</si>
  <si>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</si>
  <si>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</si>
  <si>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</si>
  <si>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</si>
  <si>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</si>
  <si>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</si>
  <si>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</si>
  <si>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</si>
  <si>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</si>
  <si>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</si>
  <si>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</si>
  <si>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</si>
  <si>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</si>
  <si>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</si>
  <si>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</si>
  <si>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</si>
  <si>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</si>
  <si>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</si>
  <si>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</si>
  <si>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</si>
  <si>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</si>
  <si>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</si>
  <si>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</si>
  <si>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</si>
  <si>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</si>
  <si>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</si>
  <si>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</si>
  <si>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</si>
  <si>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</si>
  <si>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</si>
  <si>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</si>
  <si>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</si>
  <si>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</si>
  <si>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</si>
  <si>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</si>
  <si>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</si>
  <si>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</si>
  <si>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</si>
  <si>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</si>
  <si>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</si>
  <si>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</si>
  <si>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</si>
  <si>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</si>
  <si>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</si>
  <si>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</si>
  <si>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</si>
  <si>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</si>
  <si>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</si>
  <si>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</si>
  <si>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</si>
  <si>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</si>
  <si>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</si>
  <si>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</si>
  <si>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</si>
  <si>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</si>
  <si>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</si>
  <si>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</si>
  <si>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</si>
  <si>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</si>
  <si>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</si>
  <si>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</si>
  <si>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</si>
  <si>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</si>
  <si>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</si>
  <si>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</si>
  <si>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</si>
  <si>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</si>
  <si>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</si>
  <si>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</si>
  <si>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</si>
  <si>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</si>
  <si>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</si>
  <si>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</si>
  <si>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</si>
  <si>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</si>
  <si>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</si>
  <si>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</si>
  <si>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</si>
  <si>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</si>
  <si>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</si>
  <si>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</si>
  <si>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</si>
  <si>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</si>
  <si>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</si>
  <si>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</si>
  <si>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</si>
  <si>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</si>
  <si>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</si>
  <si>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</si>
  <si>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</si>
  <si>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</si>
  <si>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</si>
  <si>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</si>
  <si>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</si>
  <si>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</si>
  <si>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</si>
  <si>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</si>
  <si>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</si>
  <si>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</si>
  <si>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</si>
  <si>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</si>
  <si>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</si>
  <si>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</si>
  <si>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</si>
  <si>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</si>
  <si>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</si>
  <si>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</si>
  <si>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</si>
  <si>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</si>
  <si>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</si>
  <si>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</si>
  <si>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</si>
  <si>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</si>
  <si>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</si>
  <si>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</si>
  <si>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</si>
  <si>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</si>
  <si>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</si>
  <si>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</si>
  <si>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</si>
  <si>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</si>
  <si>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</si>
  <si>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</si>
  <si>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</si>
  <si>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</si>
  <si>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</si>
  <si>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</si>
  <si>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</si>
  <si>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</si>
  <si>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</si>
  <si>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</si>
  <si>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</si>
  <si>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</si>
  <si>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</si>
  <si>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</si>
  <si>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</si>
  <si>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</si>
  <si>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</si>
  <si>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</si>
  <si>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</si>
  <si>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</si>
  <si>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</si>
  <si>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</si>
  <si>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</si>
  <si>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</si>
  <si>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</si>
  <si>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</si>
  <si>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</si>
  <si>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</si>
  <si>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</si>
  <si>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</si>
  <si>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</si>
  <si>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</si>
  <si>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</si>
  <si>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</si>
  <si>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</si>
  <si>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</si>
  <si>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</si>
  <si>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</si>
  <si>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</si>
  <si>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</si>
  <si>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</si>
  <si>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</si>
  <si>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</si>
  <si>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</si>
  <si>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</si>
  <si>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</si>
  <si>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</si>
  <si>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</si>
  <si>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</si>
  <si>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</si>
  <si>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</si>
  <si>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</si>
  <si>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</si>
  <si>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</si>
  <si>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</si>
  <si>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</si>
  <si>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</si>
  <si>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</si>
  <si>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</si>
  <si>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</si>
  <si>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</si>
  <si>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</si>
  <si>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</si>
  <si>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</si>
  <si>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</si>
  <si>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</si>
  <si>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</si>
  <si>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</si>
  <si>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</si>
  <si>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</si>
  <si>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</si>
  <si>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</si>
  <si>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</si>
  <si>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</si>
  <si>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</si>
  <si>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</si>
  <si>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</si>
  <si>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</si>
  <si>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</si>
  <si>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</si>
  <si>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</si>
  <si>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</si>
  <si>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</si>
  <si>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</si>
  <si>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</si>
  <si>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</si>
  <si>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</si>
  <si>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</si>
  <si>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</si>
  <si>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</si>
  <si>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</si>
  <si>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</si>
  <si>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</si>
  <si>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</si>
  <si>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</si>
  <si>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</si>
  <si>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</si>
  <si>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</si>
  <si>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</si>
  <si>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</si>
  <si>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</si>
  <si>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</si>
  <si>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</si>
  <si>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</si>
  <si>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</si>
  <si>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</si>
  <si>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</si>
  <si>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</si>
  <si>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</si>
  <si>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</si>
  <si>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</si>
  <si>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</si>
  <si>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</si>
  <si>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</si>
  <si>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</si>
  <si>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</si>
  <si>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</si>
  <si>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</si>
  <si>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</si>
  <si>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</si>
  <si>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</si>
  <si>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</si>
  <si>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</si>
  <si>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</si>
  <si>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</si>
  <si>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</si>
  <si>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</si>
  <si>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</si>
  <si>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</si>
  <si>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</si>
  <si>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</si>
  <si>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</si>
  <si>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</si>
  <si>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</si>
  <si>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</si>
  <si>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</si>
  <si>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</si>
  <si>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</si>
  <si>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</si>
  <si>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</si>
  <si>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</si>
  <si>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</si>
  <si>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</si>
  <si>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</si>
  <si>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</si>
  <si>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</si>
  <si>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</si>
  <si>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</si>
  <si>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</si>
  <si>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</si>
  <si>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</si>
  <si>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</si>
  <si>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</si>
  <si>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</si>
  <si>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</si>
  <si>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</si>
  <si>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</si>
  <si>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</si>
  <si>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</si>
  <si>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</si>
  <si>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</si>
  <si>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</si>
  <si>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</si>
  <si>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</si>
  <si>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</si>
  <si>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</si>
  <si>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</si>
  <si>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</si>
  <si>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</si>
  <si>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</si>
  <si>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</si>
  <si>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</si>
  <si>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</si>
  <si>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</si>
  <si>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</si>
  <si>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</si>
  <si>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</si>
  <si>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</si>
  <si>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</si>
  <si>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</si>
  <si>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</si>
  <si>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</si>
  <si>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</si>
  <si>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</si>
  <si>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</si>
  <si>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</si>
  <si>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</si>
  <si>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</si>
  <si>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</si>
  <si>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</si>
  <si>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</si>
  <si>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</si>
  <si>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</si>
  <si>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</si>
  <si>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</si>
  <si>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</si>
  <si>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</si>
  <si>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</si>
  <si>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</si>
  <si>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</si>
  <si>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</si>
  <si>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</si>
  <si>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</si>
  <si>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</si>
  <si>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</si>
  <si>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</si>
  <si>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</si>
  <si>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</si>
  <si>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</si>
  <si>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</si>
  <si>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</si>
  <si>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</si>
  <si>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</si>
  <si>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</si>
  <si>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</si>
  <si>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</si>
  <si>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</si>
  <si>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</si>
  <si>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</si>
  <si>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</si>
  <si>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</si>
  <si>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</si>
  <si>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</si>
  <si>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</si>
  <si>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</si>
  <si>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</si>
  <si>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</si>
  <si>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</si>
  <si>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</si>
  <si>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</si>
  <si>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</si>
  <si>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</si>
  <si>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</si>
  <si>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</si>
  <si>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</si>
  <si>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</si>
  <si>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</si>
  <si>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</si>
  <si>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</si>
  <si>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</si>
  <si>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</si>
  <si>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</si>
  <si>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</si>
  <si>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</si>
  <si>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</si>
  <si>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</si>
  <si>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</si>
  <si>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</si>
  <si>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</si>
  <si>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</si>
  <si>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</si>
  <si>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</si>
  <si>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</si>
  <si>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</si>
  <si>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</si>
  <si>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</si>
  <si>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</si>
  <si>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</si>
  <si>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</si>
  <si>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</si>
  <si>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</si>
  <si>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</si>
  <si>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</si>
  <si>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</si>
  <si>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</si>
  <si>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</si>
  <si>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</si>
  <si>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</si>
  <si>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</si>
  <si>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</si>
  <si>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</si>
  <si>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</si>
  <si>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</si>
  <si>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</si>
  <si>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</si>
  <si>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</si>
  <si>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</si>
  <si>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</si>
  <si>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</si>
  <si>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</si>
  <si>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</si>
  <si>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</si>
  <si>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</si>
  <si>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</si>
  <si>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</si>
  <si>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</si>
  <si>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</si>
  <si>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</si>
  <si>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</si>
  <si>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</si>
  <si>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</si>
  <si>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</si>
  <si>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</si>
  <si>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</si>
  <si>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</si>
  <si>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</si>
  <si>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</si>
  <si>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</si>
  <si>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</si>
  <si>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</si>
  <si>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</si>
  <si>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</si>
  <si>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</si>
  <si>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</si>
  <si>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</si>
  <si>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</si>
  <si>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</si>
  <si>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</si>
  <si>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</si>
  <si>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</si>
  <si>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</si>
  <si>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</si>
  <si>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</si>
  <si>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</si>
  <si>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</si>
  <si>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</si>
  <si>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</si>
  <si>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</si>
  <si>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</si>
  <si>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</si>
  <si>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</si>
  <si>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</si>
  <si>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</si>
  <si>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</si>
  <si>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</si>
  <si>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</si>
  <si>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</si>
  <si>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</si>
  <si>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</si>
  <si>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</si>
  <si>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</si>
  <si>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</si>
  <si>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</si>
  <si>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</si>
  <si>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</si>
  <si>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</si>
  <si>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</si>
  <si>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</si>
  <si>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</si>
  <si>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</si>
  <si>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</si>
  <si>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</si>
  <si>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</si>
  <si>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</si>
  <si>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</si>
  <si>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</si>
  <si>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</si>
  <si>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</si>
  <si>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</si>
  <si>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</si>
  <si>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</si>
  <si>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</si>
  <si>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</si>
  <si>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</si>
  <si>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</si>
  <si>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</si>
  <si>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</si>
  <si>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</si>
  <si>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</si>
  <si>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</si>
  <si>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</si>
  <si>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</si>
  <si>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</si>
  <si>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</si>
  <si>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</si>
  <si>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</si>
  <si>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</si>
  <si>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</si>
  <si>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</si>
  <si>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</si>
  <si>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</si>
  <si>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</si>
  <si>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</si>
  <si>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</si>
  <si>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</si>
  <si>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</si>
  <si>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</si>
  <si>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</si>
  <si>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</si>
  <si>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</si>
  <si>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</si>
  <si>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</si>
  <si>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</si>
  <si>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</si>
  <si>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</si>
  <si>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</si>
  <si>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</si>
  <si>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</si>
  <si>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</si>
  <si>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</si>
  <si>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</si>
  <si>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</si>
  <si>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</si>
  <si>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</si>
  <si>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</si>
  <si>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</si>
  <si>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</si>
  <si>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</si>
  <si>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</si>
  <si>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</si>
  <si>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</si>
  <si>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</si>
  <si>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</si>
  <si>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</si>
  <si>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</si>
  <si>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</si>
  <si>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</si>
  <si>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</si>
  <si>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</si>
  <si>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</si>
  <si>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</si>
  <si>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</si>
  <si>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</si>
  <si>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</si>
  <si>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</si>
  <si>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</si>
  <si>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</si>
  <si>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</si>
  <si>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</si>
  <si>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</si>
  <si>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</si>
  <si>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</si>
  <si>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</si>
  <si>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</si>
  <si>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</si>
  <si>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</si>
  <si>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</si>
  <si>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</si>
  <si>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</si>
  <si>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</si>
  <si>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</si>
  <si>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</si>
  <si>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</si>
  <si>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</si>
  <si>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</si>
  <si>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</si>
  <si>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</si>
  <si>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</si>
  <si>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</si>
  <si>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</si>
  <si>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</si>
  <si>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</si>
  <si>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</si>
  <si>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</si>
  <si>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</si>
  <si>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</si>
  <si>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</si>
  <si>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</si>
  <si>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</si>
  <si>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</si>
  <si>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</si>
  <si>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</si>
  <si>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</si>
  <si>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</si>
  <si>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</si>
  <si>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</si>
  <si>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</si>
  <si>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</si>
  <si>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</si>
  <si>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</si>
  <si>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</si>
  <si>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</si>
  <si>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</si>
  <si>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</si>
  <si>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</si>
  <si>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</si>
  <si>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</si>
  <si>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</si>
  <si>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</si>
  <si>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</si>
  <si>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</si>
  <si>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</si>
  <si>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</si>
  <si>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</si>
  <si>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</si>
  <si>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</si>
  <si>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</si>
  <si>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</si>
  <si>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</si>
  <si>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</si>
  <si>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</si>
  <si>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</si>
  <si>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</si>
  <si>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</si>
  <si>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</si>
  <si>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</si>
  <si>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</si>
  <si>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</si>
  <si>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</si>
  <si>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</si>
  <si>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</si>
  <si>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</si>
  <si>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</si>
  <si>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</si>
  <si>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</si>
  <si>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</si>
  <si>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</si>
  <si>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</si>
  <si>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</si>
  <si>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</si>
  <si>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</si>
  <si>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</si>
  <si>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</si>
  <si>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</si>
  <si>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</si>
  <si>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</si>
  <si>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</si>
  <si>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</si>
  <si>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</si>
  <si>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</si>
  <si>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</si>
  <si>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</si>
  <si>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</si>
  <si>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</si>
  <si>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</si>
  <si>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</si>
  <si>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</si>
  <si>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</si>
  <si>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</si>
  <si>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</si>
  <si>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</si>
  <si>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</si>
  <si>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</si>
  <si>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</si>
  <si>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</si>
  <si>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</si>
  <si>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</si>
  <si>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</si>
  <si>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</si>
  <si>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</si>
  <si>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</si>
  <si>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</si>
  <si>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</si>
  <si>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</si>
  <si>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</si>
  <si>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</si>
  <si>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</si>
  <si>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</si>
  <si>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</si>
  <si>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</si>
  <si>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</si>
  <si>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</si>
  <si>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</si>
  <si>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</si>
  <si>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</si>
  <si>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</si>
  <si>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</si>
  <si>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</si>
  <si>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</si>
  <si>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</si>
  <si>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</si>
  <si>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</si>
  <si>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</si>
  <si>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</si>
  <si>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</si>
  <si>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</si>
  <si>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</si>
  <si>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</si>
  <si>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</si>
  <si>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</si>
  <si>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</si>
  <si>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</si>
  <si>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</si>
  <si>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</si>
  <si>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</si>
  <si>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</si>
  <si>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</si>
  <si>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</si>
  <si>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</si>
  <si>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</si>
  <si>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</si>
  <si>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</si>
  <si>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</si>
  <si>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</si>
  <si>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</si>
  <si>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</si>
  <si>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</si>
  <si>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</si>
  <si>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</si>
  <si>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</si>
  <si>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</si>
  <si>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</si>
  <si>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</si>
  <si>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</si>
  <si>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</si>
  <si>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</si>
  <si>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</si>
  <si>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</si>
  <si>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</si>
  <si>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</si>
  <si>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</si>
  <si>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</si>
  <si>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</si>
  <si>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</si>
  <si>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</si>
  <si>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</si>
  <si>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</si>
  <si>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</si>
  <si>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</si>
  <si>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</si>
  <si>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</si>
  <si>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</si>
  <si>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</si>
  <si>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</si>
  <si>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</si>
  <si>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</si>
  <si>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</si>
  <si>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</si>
  <si>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</si>
  <si>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</si>
  <si>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</si>
  <si>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</si>
  <si>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</si>
  <si>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</si>
  <si>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</si>
  <si>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</si>
  <si>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</si>
  <si>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</si>
  <si>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</si>
  <si>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</si>
  <si>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</si>
  <si>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</si>
  <si>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</si>
  <si>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</si>
  <si>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</si>
  <si>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</si>
  <si>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</si>
  <si>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</si>
  <si>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</si>
  <si>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</si>
  <si>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</si>
  <si>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</si>
  <si>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</si>
  <si>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</si>
  <si>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</si>
  <si>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</si>
  <si>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</si>
  <si>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</si>
  <si>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</si>
  <si>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</si>
  <si>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</si>
  <si>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</si>
  <si>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</si>
  <si>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</si>
  <si>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</si>
  <si>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</si>
  <si>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</si>
  <si>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</si>
  <si>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</si>
  <si>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</si>
  <si>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</si>
  <si>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</si>
  <si>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</si>
  <si>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</si>
  <si>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</si>
  <si>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</si>
  <si>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</si>
  <si>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</si>
  <si>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</si>
  <si>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</si>
  <si>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</si>
  <si>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</si>
  <si>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</si>
  <si>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</si>
  <si>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</si>
  <si>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</si>
  <si>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</si>
  <si>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</si>
  <si>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</si>
  <si>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</si>
  <si>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</si>
  <si>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</si>
  <si>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</si>
  <si>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</si>
  <si>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</si>
  <si>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</si>
  <si>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</si>
  <si>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</si>
  <si>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</si>
  <si>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</si>
  <si>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</si>
  <si>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</si>
  <si>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</si>
  <si>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</si>
  <si>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</si>
  <si>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</si>
  <si>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</si>
  <si>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</si>
  <si>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</si>
  <si>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</si>
  <si>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</si>
  <si>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</si>
  <si>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</si>
  <si>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</si>
  <si>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</si>
  <si>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</si>
  <si>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</si>
  <si>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</si>
  <si>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</si>
  <si>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</si>
  <si>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</si>
  <si>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</si>
  <si>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</si>
  <si>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</si>
  <si>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</si>
  <si>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</si>
  <si>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</si>
  <si>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</si>
  <si>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</si>
  <si>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</si>
  <si>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</si>
  <si>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</si>
  <si>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</si>
  <si>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</si>
  <si>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</si>
  <si>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</si>
  <si>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</si>
  <si>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</si>
  <si>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</si>
  <si>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</si>
  <si>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</si>
  <si>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</si>
  <si>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</si>
  <si>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</si>
  <si>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</si>
  <si>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</si>
  <si>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</si>
  <si>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</si>
  <si>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</si>
  <si>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</si>
  <si>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</si>
  <si>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</si>
  <si>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</si>
  <si>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</si>
  <si>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</si>
  <si>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</si>
  <si>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</si>
  <si>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</si>
  <si>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</si>
  <si>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</si>
  <si>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</si>
  <si>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</si>
  <si>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</si>
  <si>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</si>
  <si>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</si>
  <si>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</si>
  <si>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</si>
  <si>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</si>
  <si>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</si>
  <si>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</si>
  <si>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</si>
  <si>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</si>
  <si>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</si>
  <si>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</si>
  <si>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</si>
  <si>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</si>
  <si>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</si>
  <si>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</si>
  <si>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</si>
  <si>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</si>
  <si>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</si>
  <si>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</si>
  <si>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</si>
  <si>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</si>
  <si>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</si>
  <si>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</si>
  <si>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</si>
  <si>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</si>
  <si>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</si>
  <si>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</si>
  <si>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</si>
  <si>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</si>
  <si>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</si>
  <si>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</si>
  <si>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</si>
  <si>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</si>
  <si>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</si>
  <si>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</si>
  <si>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</si>
  <si>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</si>
  <si>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</si>
  <si>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</si>
  <si>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</si>
  <si>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</si>
  <si>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</si>
  <si>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</si>
  <si>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</si>
  <si>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</si>
  <si>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</si>
  <si>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</si>
  <si>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</si>
  <si>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</si>
  <si>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</si>
  <si>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</si>
  <si>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</si>
  <si>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</si>
  <si>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</si>
  <si>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</si>
  <si>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</si>
  <si>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</si>
  <si>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</si>
  <si>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</si>
  <si>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</si>
  <si>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</si>
  <si>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</si>
  <si>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</si>
  <si>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</si>
  <si>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</si>
  <si>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</si>
  <si>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</si>
  <si>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</si>
  <si>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</si>
  <si>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</si>
  <si>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</si>
  <si>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</si>
  <si>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</si>
  <si>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</si>
  <si>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</si>
  <si>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</si>
  <si>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</si>
  <si>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</si>
  <si>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</si>
  <si>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</si>
  <si>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</si>
  <si>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</si>
  <si>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</si>
  <si>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</si>
  <si>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</si>
  <si>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</si>
  <si>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</si>
  <si>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</si>
  <si>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</si>
  <si>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</si>
  <si>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</si>
  <si>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</si>
  <si>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</si>
  <si>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</si>
  <si>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</si>
  <si>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</si>
  <si>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</si>
  <si>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</si>
  <si>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</si>
  <si>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</si>
  <si>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</si>
  <si>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</si>
  <si>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</si>
  <si>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</si>
  <si>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</si>
  <si>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</si>
  <si>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</si>
  <si>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</si>
  <si>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</si>
  <si>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</si>
  <si>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</si>
  <si>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</si>
  <si>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</si>
  <si>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</si>
  <si>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</si>
  <si>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</si>
  <si>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</si>
  <si>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</si>
  <si>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</si>
  <si>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</si>
  <si>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</si>
  <si>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</si>
  <si>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</si>
  <si>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</si>
  <si>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</si>
  <si>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</si>
  <si>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</si>
  <si>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</si>
  <si>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</si>
  <si>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</si>
  <si>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</si>
  <si>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</si>
  <si>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</si>
  <si>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</si>
  <si>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</si>
  <si>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</si>
  <si>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</si>
  <si>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</si>
  <si>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</si>
  <si>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</si>
  <si>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</si>
  <si>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</si>
  <si>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</si>
  <si>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</si>
  <si>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</si>
  <si>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</si>
  <si>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</si>
  <si>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</si>
  <si>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</si>
  <si>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</si>
  <si>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</si>
  <si>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</si>
  <si>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</si>
  <si>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</si>
  <si>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</si>
  <si>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</si>
  <si>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</si>
  <si>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</si>
  <si>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</si>
  <si>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</si>
  <si>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</si>
  <si>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</si>
  <si>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</si>
  <si>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</si>
  <si>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</si>
  <si>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</si>
  <si>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</si>
  <si>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</si>
  <si>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</si>
  <si>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</si>
  <si>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</si>
  <si>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</si>
  <si>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</si>
  <si>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</si>
  <si>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</si>
  <si>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</si>
  <si>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</si>
  <si>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</si>
  <si>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</si>
  <si>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</si>
  <si>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</si>
  <si>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</si>
  <si>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</si>
  <si>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</si>
  <si>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</si>
  <si>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</si>
  <si>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</si>
  <si>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</si>
  <si>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</si>
  <si>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</si>
  <si>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</si>
  <si>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</si>
  <si>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</si>
  <si>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</si>
  <si>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</si>
  <si>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</si>
  <si>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</si>
  <si>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</si>
  <si>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</si>
  <si>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</si>
  <si>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</si>
  <si>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</si>
  <si>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</si>
  <si>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</si>
  <si>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</si>
  <si>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</si>
  <si>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</si>
  <si>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</si>
  <si>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</si>
  <si>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</si>
  <si>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</si>
  <si>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</si>
  <si>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</si>
  <si>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</si>
  <si>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</si>
  <si>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</si>
  <si>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</si>
  <si>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</si>
  <si>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</si>
  <si>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</si>
  <si>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</si>
  <si>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</si>
  <si>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</si>
  <si>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</si>
  <si>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</si>
  <si>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</si>
  <si>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</si>
  <si>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</si>
  <si>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</si>
  <si>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</si>
  <si>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</si>
  <si>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</si>
  <si>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</si>
  <si>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</si>
  <si>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</si>
  <si>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</si>
  <si>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</si>
  <si>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</si>
  <si>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</si>
  <si>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</si>
  <si>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</si>
  <si>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</si>
  <si>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</si>
  <si>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</si>
  <si>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</si>
  <si>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</si>
  <si>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</si>
  <si>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</si>
  <si>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</si>
  <si>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</si>
  <si>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</si>
  <si>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</si>
  <si>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</si>
  <si>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</si>
  <si>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</si>
  <si>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</si>
  <si>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</si>
  <si>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</si>
  <si>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</si>
  <si>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</si>
  <si>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</si>
  <si>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</si>
  <si>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</si>
  <si>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</si>
  <si>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</si>
  <si>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</si>
  <si>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</si>
  <si>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</si>
  <si>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</si>
  <si>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</si>
  <si>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</si>
  <si>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</si>
  <si>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</si>
  <si>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</si>
  <si>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</si>
  <si>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</si>
  <si>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</si>
  <si>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</si>
  <si>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</si>
  <si>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</si>
  <si>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</si>
  <si>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</si>
  <si>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</si>
  <si>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</si>
  <si>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</si>
  <si>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</si>
  <si>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</si>
  <si>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</si>
  <si>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</si>
  <si>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</si>
  <si>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</si>
  <si>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</si>
  <si>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</si>
  <si>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</si>
  <si>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</si>
  <si>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</si>
  <si>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</si>
  <si>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</si>
  <si>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</si>
  <si>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</si>
  <si>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</si>
  <si>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</si>
  <si>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</si>
  <si>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</si>
  <si>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</si>
  <si>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</si>
  <si>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</si>
  <si>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</si>
  <si>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</si>
  <si>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</si>
  <si>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</si>
  <si>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</si>
  <si>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</si>
  <si>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</si>
  <si>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</si>
  <si>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</si>
  <si>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</si>
  <si>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</si>
  <si>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</si>
  <si>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</si>
  <si>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</si>
  <si>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</si>
  <si>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</si>
  <si>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</si>
  <si>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</si>
  <si>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</si>
  <si>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</si>
  <si>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</si>
  <si>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</si>
  <si>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</si>
  <si>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</si>
  <si>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</si>
  <si>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</si>
  <si>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</si>
  <si>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</si>
  <si>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</si>
  <si>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</si>
  <si>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</si>
  <si>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</si>
  <si>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</si>
  <si>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</si>
  <si>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</si>
  <si>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</si>
  <si>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</si>
  <si>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</si>
  <si>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</si>
  <si>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</si>
  <si>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</si>
  <si>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</si>
  <si>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</si>
  <si>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</si>
  <si>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</si>
  <si>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</si>
  <si>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</si>
  <si>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</si>
  <si>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</si>
  <si>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</si>
  <si>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</si>
  <si>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</si>
  <si>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</si>
  <si>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</si>
  <si>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</si>
  <si>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</si>
  <si>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</si>
  <si>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</si>
  <si>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</si>
  <si>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</si>
  <si>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</si>
  <si>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</si>
  <si>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</si>
  <si>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</si>
  <si>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</si>
  <si>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</si>
  <si>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</si>
  <si>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</si>
  <si>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</si>
  <si>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</si>
  <si>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</si>
  <si>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</si>
  <si>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</si>
  <si>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</si>
  <si>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</si>
  <si>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</si>
  <si>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</si>
  <si>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</si>
  <si>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</si>
  <si>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</si>
  <si>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</si>
  <si>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</si>
  <si>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</si>
  <si>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</si>
  <si>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</si>
  <si>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</si>
  <si>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</si>
  <si>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</si>
  <si>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</si>
  <si>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</si>
  <si>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</si>
  <si>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</si>
  <si>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</si>
  <si>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</si>
  <si>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</si>
  <si>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</si>
  <si>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</si>
  <si>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</si>
  <si>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</si>
  <si>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</si>
  <si>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</si>
  <si>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</si>
  <si>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</si>
  <si>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</si>
  <si>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</si>
  <si>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</si>
  <si>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</si>
  <si>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</si>
  <si>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</si>
  <si>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</si>
  <si>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</si>
  <si>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</si>
  <si>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</si>
  <si>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</si>
  <si>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</si>
  <si>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</si>
  <si>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</si>
  <si>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</si>
  <si>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</si>
  <si>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</si>
  <si>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</si>
  <si>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</si>
  <si>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</si>
  <si>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</si>
  <si>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</si>
  <si>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</si>
  <si>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</si>
  <si>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</si>
  <si>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</si>
  <si>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</si>
  <si>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</si>
  <si>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</si>
  <si>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</si>
  <si>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</si>
  <si>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</si>
  <si>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</si>
  <si>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</si>
  <si>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</si>
  <si>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</si>
  <si>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</si>
  <si>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</si>
  <si>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</si>
  <si>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</si>
  <si>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</si>
  <si>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</si>
  <si>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</si>
  <si>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</si>
  <si>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</si>
  <si>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</si>
  <si>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</si>
  <si>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</si>
  <si>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</si>
  <si>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</si>
  <si>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</si>
  <si>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</si>
  <si>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</si>
  <si>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</si>
  <si>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</si>
  <si>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</si>
  <si>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</si>
  <si>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</si>
  <si>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</si>
  <si>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</si>
  <si>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</si>
  <si>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</si>
  <si>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</si>
  <si>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</si>
  <si>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</si>
  <si>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</si>
  <si>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</si>
  <si>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</si>
  <si>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</si>
  <si>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</si>
  <si>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</si>
  <si>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</si>
  <si>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</si>
  <si>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</si>
  <si>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</si>
  <si>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</si>
  <si>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</si>
  <si>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</si>
  <si>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</si>
  <si>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</si>
  <si>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</si>
  <si>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</si>
  <si>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</si>
  <si>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</si>
  <si>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</si>
  <si>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</si>
  <si>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</si>
  <si>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</si>
  <si>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</si>
  <si>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</si>
  <si>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</si>
  <si>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</si>
  <si>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</si>
  <si>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</si>
  <si>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</si>
  <si>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</si>
  <si>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</si>
  <si>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</si>
  <si>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</si>
  <si>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</si>
  <si>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</si>
  <si>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</si>
  <si>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</si>
  <si>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</si>
  <si>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</si>
  <si>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</si>
  <si>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</si>
  <si>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</si>
  <si>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</si>
  <si>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</si>
  <si>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</si>
  <si>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</si>
  <si>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</si>
  <si>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</si>
  <si>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</si>
  <si>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</si>
  <si>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</si>
  <si>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</si>
  <si>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</si>
  <si>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</si>
  <si>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</si>
  <si>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</si>
  <si>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</si>
  <si>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</si>
  <si>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</si>
  <si>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</si>
  <si>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</si>
  <si>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</si>
  <si>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</si>
  <si>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</si>
  <si>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</si>
  <si>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</si>
  <si>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</si>
  <si>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</si>
  <si>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</si>
  <si>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</si>
  <si>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</si>
  <si>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</si>
  <si>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</si>
  <si>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</si>
  <si>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</si>
  <si>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</si>
  <si>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</si>
  <si>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</si>
  <si>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</si>
  <si>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</si>
  <si>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</si>
  <si>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</si>
  <si>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</si>
  <si>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</si>
  <si>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</si>
  <si>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</si>
  <si>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</si>
  <si>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</si>
  <si>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</si>
  <si>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</si>
  <si>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</si>
  <si>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</si>
  <si>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</si>
  <si>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</si>
  <si>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</si>
  <si>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</si>
  <si>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</si>
  <si>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</si>
  <si>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</si>
  <si>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</si>
  <si>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</si>
  <si>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</si>
  <si>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</si>
  <si>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</si>
  <si>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</si>
  <si>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</si>
  <si>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</si>
  <si>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</si>
  <si>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</si>
  <si>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</si>
  <si>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</si>
  <si>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</si>
  <si>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</si>
  <si>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</si>
  <si>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</si>
  <si>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</si>
  <si>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</si>
  <si>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</si>
  <si>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</si>
  <si>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</si>
  <si>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</si>
  <si>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</si>
  <si>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</si>
  <si>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</si>
  <si>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</si>
  <si>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</si>
  <si>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</si>
  <si>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</si>
  <si>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</si>
  <si>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</si>
  <si>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</si>
  <si>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</si>
  <si>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</si>
  <si>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</si>
  <si>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</si>
  <si>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</si>
  <si>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</si>
  <si>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</si>
  <si>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</si>
  <si>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</si>
  <si>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</si>
  <si>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</si>
  <si>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</si>
  <si>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</si>
  <si>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</si>
  <si>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</si>
  <si>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</si>
  <si>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</si>
  <si>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</si>
  <si>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</si>
  <si>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</si>
  <si>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</si>
  <si>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</si>
  <si>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</si>
  <si>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</si>
  <si>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</si>
  <si>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</si>
  <si>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</si>
  <si>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</si>
  <si>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</si>
  <si>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</si>
  <si>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</si>
  <si>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</si>
  <si>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</si>
  <si>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</si>
  <si>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</si>
  <si>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</si>
  <si>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</si>
  <si>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</si>
  <si>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</si>
  <si>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</si>
  <si>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</si>
  <si>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</si>
  <si>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</si>
  <si>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</si>
  <si>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</si>
  <si>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</si>
  <si>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</si>
  <si>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</si>
  <si>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</si>
  <si>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</si>
  <si>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</si>
  <si>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</si>
  <si>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</si>
  <si>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</si>
  <si>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</si>
  <si>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</si>
  <si>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</si>
  <si>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</si>
  <si>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</si>
  <si>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</si>
  <si>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</si>
  <si>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</si>
  <si>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</si>
  <si>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</si>
  <si>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</si>
  <si>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</si>
  <si>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</si>
  <si>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</si>
  <si>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</si>
  <si>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</si>
  <si>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</si>
  <si>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</si>
  <si>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</si>
  <si>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</si>
  <si>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</si>
  <si>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</si>
  <si>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</si>
  <si>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</si>
  <si>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</si>
  <si>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</si>
  <si>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</si>
  <si>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</si>
  <si>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</si>
  <si>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</si>
  <si>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</si>
  <si>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</si>
  <si>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</si>
  <si>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</si>
  <si>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</si>
  <si>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</si>
  <si>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</si>
  <si>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</si>
  <si>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</si>
  <si>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</si>
  <si>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</si>
  <si>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</si>
  <si>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</si>
  <si>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</si>
  <si>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</si>
  <si>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</si>
  <si>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</si>
  <si>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</si>
  <si>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</si>
  <si>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</si>
  <si>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</si>
  <si>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</si>
  <si>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</si>
  <si>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</si>
  <si>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</si>
  <si>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</si>
  <si>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</si>
  <si>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</si>
  <si>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</si>
  <si>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</si>
  <si>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</si>
  <si>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</si>
  <si>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</si>
  <si>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</si>
  <si>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</si>
  <si>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</si>
  <si>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</si>
  <si>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</si>
  <si>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</si>
  <si>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</si>
  <si>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</si>
  <si>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</si>
  <si>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</si>
  <si>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</si>
  <si>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</si>
  <si>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</si>
  <si>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</si>
  <si>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</si>
  <si>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</si>
  <si>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</si>
  <si>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</si>
  <si>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</si>
  <si>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</si>
  <si>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</si>
  <si>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</si>
  <si>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</si>
  <si>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</si>
  <si>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</si>
  <si>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</si>
  <si>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</si>
  <si>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</si>
  <si>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</si>
  <si>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</si>
  <si>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</si>
  <si>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</si>
  <si>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</si>
  <si>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</si>
  <si>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</si>
  <si>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</si>
  <si>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</si>
  <si>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</si>
  <si>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</si>
  <si>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</si>
  <si>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</si>
  <si>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</si>
  <si>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</si>
  <si>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</si>
  <si>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</si>
  <si>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</si>
  <si>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</si>
  <si>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</si>
  <si>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</si>
  <si>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</si>
  <si>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</si>
  <si>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</si>
  <si>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</si>
  <si>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</si>
  <si>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</si>
  <si>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</si>
  <si>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</si>
  <si>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</si>
  <si>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</si>
  <si>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</si>
  <si>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</si>
  <si>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</si>
  <si>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</si>
  <si>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</si>
  <si>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</si>
  <si>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</si>
  <si>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</si>
  <si>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</si>
  <si>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</si>
  <si>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</si>
  <si>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</si>
  <si>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</si>
  <si>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</si>
  <si>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</si>
  <si>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</si>
  <si>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</si>
  <si>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</si>
  <si>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</si>
  <si>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</si>
  <si>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</si>
  <si>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</si>
  <si>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</si>
  <si>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</si>
  <si>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</si>
  <si>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</si>
  <si>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</si>
  <si>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</si>
  <si>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</si>
  <si>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</si>
  <si>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</si>
  <si>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</si>
  <si>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</si>
  <si>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</si>
  <si>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</si>
  <si>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</si>
  <si>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</si>
  <si>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</si>
  <si>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</si>
  <si>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</si>
  <si>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</si>
  <si>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</si>
  <si>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</si>
  <si>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</si>
  <si>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</si>
  <si>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</si>
  <si>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</si>
  <si>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</si>
  <si>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</si>
  <si>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</si>
  <si>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</si>
  <si>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</si>
  <si>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</si>
  <si>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</si>
  <si>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</si>
  <si>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</si>
  <si>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</si>
  <si>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</si>
  <si>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</si>
  <si>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</si>
  <si>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</si>
  <si>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</si>
  <si>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</si>
  <si>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</si>
  <si>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</si>
  <si>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</si>
  <si>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</si>
  <si>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</si>
  <si>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</si>
  <si>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</si>
  <si>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</si>
  <si>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</si>
  <si>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</si>
  <si>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</si>
  <si>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</si>
  <si>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</si>
  <si>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</si>
  <si>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</si>
  <si>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</si>
  <si>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</si>
  <si>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</si>
  <si>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</si>
  <si>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</si>
  <si>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</si>
  <si>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</si>
  <si>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</si>
  <si>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</si>
  <si>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</si>
  <si>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</si>
  <si>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</si>
  <si>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</si>
  <si>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</si>
  <si>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</si>
  <si>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</si>
  <si>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</si>
  <si>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</si>
  <si>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</si>
  <si>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</si>
  <si>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</si>
  <si>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</si>
  <si>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</si>
  <si>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</si>
  <si>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</si>
  <si>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</si>
  <si>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</si>
  <si>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</si>
  <si>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</si>
  <si>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</si>
  <si>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</si>
  <si>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</si>
  <si>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</si>
  <si>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</si>
  <si>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</si>
  <si>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</si>
  <si>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</si>
  <si>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</si>
  <si>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</si>
  <si>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</si>
  <si>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</si>
  <si>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</si>
  <si>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</si>
  <si>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</si>
  <si>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</si>
  <si>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</si>
  <si>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</si>
  <si>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</si>
  <si>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</si>
  <si>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</si>
  <si>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</si>
  <si>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</si>
  <si>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</si>
  <si>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</si>
  <si>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</si>
  <si>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</si>
  <si>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</si>
  <si>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</si>
  <si>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</si>
  <si>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</si>
  <si>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</si>
  <si>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</si>
  <si>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</si>
  <si>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</si>
  <si>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</si>
  <si>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</si>
  <si>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</si>
  <si>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</si>
  <si>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</si>
  <si>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</si>
  <si>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</si>
  <si>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</si>
  <si>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</si>
  <si>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</si>
  <si>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</si>
  <si>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</si>
  <si>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</si>
  <si>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</si>
  <si>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</si>
  <si>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</si>
  <si>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</si>
  <si>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</si>
  <si>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</si>
  <si>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</si>
  <si>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</si>
  <si>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</si>
  <si>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</si>
  <si>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</si>
  <si>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</si>
  <si>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</si>
  <si>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</si>
  <si>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</si>
  <si>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</si>
  <si>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</si>
  <si>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</si>
  <si>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</si>
  <si>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</si>
  <si>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</si>
  <si>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</si>
  <si>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</si>
  <si>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</si>
  <si>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</si>
  <si>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</si>
  <si>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</si>
  <si>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</si>
  <si>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</si>
  <si>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</si>
  <si>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</si>
  <si>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</si>
  <si>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</si>
  <si>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</si>
  <si>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</si>
  <si>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</si>
  <si>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</si>
  <si>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</si>
  <si>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</si>
  <si>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</si>
  <si>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</si>
  <si>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</si>
  <si>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</si>
  <si>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</si>
  <si>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</si>
  <si>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</si>
  <si>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</si>
  <si>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</si>
  <si>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</si>
  <si>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</si>
  <si>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</si>
  <si>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</si>
  <si>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</si>
  <si>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</si>
  <si>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</si>
  <si>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</si>
  <si>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</si>
  <si>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</si>
  <si>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</si>
  <si>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</si>
  <si>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</si>
  <si>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</si>
  <si>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</si>
  <si>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</si>
  <si>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</si>
  <si>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</si>
  <si>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</si>
  <si>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</si>
  <si>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</si>
  <si>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</si>
  <si>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</si>
  <si>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</si>
  <si>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</si>
  <si>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</si>
  <si>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</si>
  <si>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</si>
  <si>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</si>
  <si>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</si>
  <si>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</si>
  <si>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</si>
  <si>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</si>
  <si>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</si>
  <si>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</si>
  <si>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</si>
  <si>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</si>
  <si>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</si>
  <si>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</si>
  <si>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</si>
  <si>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</si>
  <si>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</si>
  <si>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</si>
  <si>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</si>
  <si>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</si>
  <si>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</si>
  <si>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</si>
  <si>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</si>
  <si>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</si>
  <si>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</si>
  <si>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</si>
  <si>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</si>
  <si>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</si>
  <si>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</si>
  <si>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</si>
  <si>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</si>
  <si>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</si>
  <si>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</si>
  <si>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</si>
  <si>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</si>
  <si>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</si>
  <si>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</si>
  <si>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</si>
  <si>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</si>
  <si>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</si>
  <si>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</si>
  <si>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</si>
  <si>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</si>
  <si>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</si>
  <si>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</si>
  <si>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</si>
  <si>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</si>
  <si>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</si>
  <si>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</si>
  <si>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</si>
  <si>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</si>
  <si>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</si>
  <si>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</si>
  <si>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</si>
  <si>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</si>
  <si>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</si>
  <si>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</si>
  <si>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</si>
  <si>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</si>
  <si>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</si>
  <si>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</si>
  <si>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</si>
  <si>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</si>
  <si>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</si>
  <si>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</si>
  <si>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</si>
  <si>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</si>
  <si>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</si>
  <si>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</si>
  <si>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</si>
  <si>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</si>
  <si>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</si>
  <si>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</si>
  <si>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</si>
  <si>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</si>
  <si>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</si>
  <si>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</si>
  <si>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</si>
  <si>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</si>
  <si>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</si>
  <si>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</si>
  <si>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</si>
  <si>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</si>
  <si>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</si>
  <si>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</si>
  <si>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</si>
  <si>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</si>
  <si>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</si>
  <si>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</si>
  <si>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</si>
  <si>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</si>
  <si>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</si>
  <si>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</si>
  <si>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</si>
  <si>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</si>
  <si>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</si>
  <si>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</si>
  <si>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</si>
  <si>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</si>
  <si>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</si>
  <si>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</si>
  <si>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</si>
  <si>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</si>
  <si>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</si>
  <si>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</si>
  <si>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</si>
  <si>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</si>
  <si>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</si>
  <si>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</si>
  <si>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</si>
  <si>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</si>
  <si>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</si>
  <si>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</si>
  <si>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</si>
  <si>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</si>
  <si>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</si>
  <si>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</si>
  <si>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</si>
  <si>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</si>
  <si>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</si>
  <si>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</si>
  <si>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</si>
  <si>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</si>
  <si>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</si>
  <si>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</si>
  <si>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</si>
  <si>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</si>
  <si>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</si>
  <si>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</si>
  <si>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</si>
  <si>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</si>
  <si>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</si>
  <si>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</si>
  <si>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</si>
  <si>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</si>
  <si>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</si>
  <si>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</si>
  <si>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</si>
  <si>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</si>
  <si>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</si>
  <si>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</si>
  <si>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</si>
  <si>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</si>
  <si>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</si>
  <si>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</si>
  <si>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</si>
  <si>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</si>
  <si>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</si>
  <si>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</si>
  <si>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</si>
  <si>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</si>
  <si>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</si>
  <si>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</si>
  <si>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</si>
  <si>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</si>
  <si>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</si>
  <si>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</si>
  <si>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</si>
  <si>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</si>
  <si>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</si>
  <si>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</si>
  <si>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</si>
  <si>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</si>
  <si>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</si>
  <si>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</si>
  <si>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</si>
  <si>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</si>
  <si>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</si>
  <si>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</si>
  <si>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</si>
  <si>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</si>
  <si>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</si>
  <si>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</si>
  <si>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</si>
  <si>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</si>
  <si>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</si>
  <si>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</si>
  <si>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</si>
  <si>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</si>
  <si>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</si>
  <si>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</si>
  <si>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</si>
  <si>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</si>
  <si>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</si>
  <si>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</si>
  <si>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</si>
  <si>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</si>
  <si>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</si>
  <si>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</si>
  <si>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</si>
  <si>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</si>
  <si>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</si>
  <si>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</si>
  <si>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</si>
  <si>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</si>
  <si>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</si>
  <si>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</si>
  <si>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</si>
  <si>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</si>
  <si>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</si>
  <si>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</si>
  <si>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</si>
  <si>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</si>
  <si>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</si>
  <si>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</si>
  <si>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</si>
  <si>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</si>
  <si>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</si>
  <si>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</si>
  <si>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</si>
  <si>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</si>
  <si>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</si>
  <si>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</si>
  <si>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</si>
  <si>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</si>
  <si>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</si>
  <si>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</si>
  <si>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</si>
  <si>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</si>
  <si>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</si>
  <si>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</si>
  <si>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</si>
  <si>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</si>
  <si>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</si>
  <si>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</si>
  <si>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</si>
  <si>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</si>
  <si>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</si>
  <si>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</si>
  <si>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</si>
  <si>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</si>
  <si>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</si>
  <si>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</si>
  <si>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</si>
  <si>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</si>
  <si>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</si>
  <si>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</si>
  <si>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</si>
  <si>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</si>
  <si>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</si>
  <si>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</si>
  <si>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</si>
  <si>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</si>
  <si>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</si>
  <si>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</si>
  <si>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</si>
  <si>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</si>
  <si>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</si>
  <si>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</si>
  <si>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</si>
  <si>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</si>
  <si>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</si>
  <si>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</si>
  <si>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</si>
  <si>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</si>
  <si>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</si>
  <si>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</si>
  <si>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</si>
  <si>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</si>
  <si>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</si>
  <si>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</si>
  <si>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</si>
  <si>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</si>
  <si>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</si>
  <si>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</si>
  <si>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</si>
  <si>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</si>
  <si>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</si>
  <si>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</si>
  <si>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</si>
  <si>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</si>
  <si>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</si>
  <si>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</si>
  <si>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</si>
  <si>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</si>
  <si>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</si>
  <si>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</si>
  <si>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</si>
  <si>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</si>
  <si>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</si>
  <si>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</si>
  <si>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</si>
  <si>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</si>
  <si>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</si>
  <si>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</si>
  <si>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</si>
  <si>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</si>
  <si>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</si>
  <si>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</si>
  <si>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</si>
  <si>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</si>
  <si>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</si>
  <si>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</si>
  <si>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</si>
  <si>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</si>
  <si>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</si>
  <si>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</si>
  <si>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</si>
  <si>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</si>
  <si>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</si>
  <si>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</si>
  <si>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</si>
  <si>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</si>
  <si>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</si>
  <si>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</si>
  <si>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</si>
  <si>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</si>
  <si>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</si>
  <si>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</si>
  <si>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</si>
  <si>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</si>
  <si>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</si>
  <si>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</si>
  <si>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</si>
  <si>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</si>
  <si>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</si>
  <si>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</si>
  <si>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</si>
  <si>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</si>
  <si>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</si>
  <si>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</si>
  <si>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</si>
  <si>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</si>
  <si>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</si>
  <si>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</si>
  <si>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</si>
  <si>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</si>
  <si>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</si>
  <si>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</si>
  <si>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</si>
  <si>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</si>
  <si>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</si>
  <si>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</si>
  <si>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</si>
  <si>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</si>
  <si>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</si>
  <si>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</si>
  <si>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</si>
  <si>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</si>
  <si>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</si>
  <si>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</si>
  <si>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</si>
  <si>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</si>
  <si>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</si>
  <si>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</si>
  <si>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</si>
  <si>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</si>
  <si>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</si>
  <si>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</si>
  <si>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</si>
  <si>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</si>
  <si>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</si>
  <si>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</si>
  <si>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</si>
  <si>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</si>
  <si>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</si>
  <si>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</si>
  <si>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</si>
  <si>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</si>
  <si>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</si>
  <si>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</si>
  <si>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</si>
  <si>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</si>
  <si>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</si>
  <si>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</si>
  <si>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</si>
  <si>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</si>
  <si>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</si>
  <si>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</si>
  <si>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</si>
  <si>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</si>
  <si>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</si>
  <si>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</si>
  <si>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</si>
  <si>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</si>
  <si>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</si>
  <si>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</si>
  <si>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</si>
  <si>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</si>
  <si>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</si>
  <si>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</si>
  <si>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</si>
  <si>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</si>
  <si>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</si>
  <si>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</si>
  <si>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</si>
  <si>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</si>
  <si>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</si>
  <si>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</si>
  <si>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</si>
  <si>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</si>
  <si>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</si>
  <si>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</si>
  <si>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</si>
  <si>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</si>
  <si>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</si>
  <si>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</si>
  <si>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</si>
  <si>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</si>
  <si>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</si>
  <si>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</si>
  <si>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</si>
  <si>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</si>
  <si>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</si>
  <si>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</si>
  <si>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</si>
  <si>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</si>
  <si>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</si>
  <si>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</si>
  <si>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</si>
  <si>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</si>
  <si>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</si>
  <si>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</si>
  <si>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</si>
  <si>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</si>
  <si>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</si>
  <si>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</si>
  <si>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</si>
  <si>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</si>
  <si>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</si>
  <si>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</si>
  <si>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</si>
  <si>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</si>
  <si>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</si>
  <si>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</si>
  <si>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</si>
  <si>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</si>
  <si>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</si>
  <si>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</si>
  <si>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</si>
  <si>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</si>
  <si>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</si>
  <si>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</si>
  <si>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</si>
  <si>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</si>
  <si>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</si>
  <si>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</si>
  <si>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</si>
  <si>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</si>
  <si>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</si>
  <si>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</si>
  <si>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</si>
  <si>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</si>
  <si>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</si>
  <si>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</si>
  <si>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</si>
  <si>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</si>
  <si>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</si>
  <si>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</si>
  <si>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</si>
  <si>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</si>
  <si>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</si>
  <si>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</si>
  <si>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</si>
  <si>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</si>
  <si>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</si>
  <si>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</si>
  <si>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</si>
  <si>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</si>
  <si>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</si>
  <si>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</si>
  <si>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</si>
  <si>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</si>
  <si>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</si>
  <si>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</si>
  <si>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</si>
  <si>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</si>
  <si>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</si>
  <si>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</si>
  <si>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</si>
  <si>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</si>
  <si>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</si>
  <si>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</si>
  <si>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</si>
  <si>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</si>
  <si>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</si>
  <si>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</si>
  <si>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</si>
  <si>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</si>
  <si>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</si>
  <si>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</si>
  <si>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</si>
  <si>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</si>
  <si>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</si>
  <si>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</si>
  <si>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</si>
  <si>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</si>
  <si>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</si>
  <si>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</si>
  <si>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</si>
  <si>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</si>
  <si>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</si>
  <si>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</si>
  <si>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</si>
  <si>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</si>
  <si>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</si>
  <si>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</si>
  <si>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</si>
  <si>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</si>
  <si>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</si>
  <si>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</si>
  <si>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</si>
  <si>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</si>
  <si>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</si>
  <si>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</si>
  <si>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</si>
  <si>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</si>
  <si>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</si>
  <si>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</si>
  <si>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</si>
  <si>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</si>
  <si>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</si>
  <si>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</si>
  <si>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</si>
  <si>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</si>
  <si>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</si>
  <si>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</si>
  <si>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</si>
  <si>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</si>
  <si>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</si>
  <si>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</si>
  <si>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</si>
  <si>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</si>
  <si>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</si>
  <si>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</si>
  <si>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</si>
  <si>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</si>
  <si>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</si>
  <si>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</si>
  <si>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</si>
  <si>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</si>
  <si>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</si>
  <si>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</si>
  <si>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</si>
  <si>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</si>
  <si>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</si>
  <si>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</si>
  <si>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</si>
  <si>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</si>
  <si>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</si>
  <si>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</si>
  <si>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</si>
  <si>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</si>
  <si>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</si>
  <si>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</si>
  <si>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</si>
  <si>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</si>
  <si>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</si>
  <si>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</si>
  <si>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</si>
  <si>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</si>
  <si>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</si>
  <si>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</si>
  <si>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</si>
  <si>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</si>
  <si>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</si>
  <si>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</si>
  <si>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</si>
  <si>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</si>
  <si>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</si>
  <si>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</si>
  <si>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</si>
  <si>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</si>
  <si>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</si>
  <si>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</si>
  <si>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</si>
  <si>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</si>
  <si>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</si>
  <si>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</si>
  <si>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</si>
  <si>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</si>
  <si>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</si>
  <si>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</si>
  <si>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</si>
  <si>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</si>
  <si>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</si>
  <si>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</si>
  <si>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</si>
  <si>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</si>
  <si>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</si>
  <si>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</si>
  <si>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</si>
  <si>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</si>
  <si>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</si>
  <si>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</si>
  <si>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</si>
  <si>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</si>
  <si>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</si>
  <si>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</si>
  <si>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</si>
  <si>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</si>
  <si>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</si>
  <si>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</si>
  <si>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</si>
  <si>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</si>
  <si>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</si>
  <si>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</si>
  <si>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</si>
  <si>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</si>
  <si>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</si>
  <si>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</si>
  <si>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</si>
  <si>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</si>
  <si>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</si>
  <si>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</si>
  <si>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</si>
  <si>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</si>
  <si>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</si>
  <si>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</si>
  <si>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</si>
  <si>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</si>
  <si>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</si>
  <si>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</si>
  <si>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</si>
  <si>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</si>
  <si>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</si>
  <si>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</si>
  <si>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</si>
  <si>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</si>
  <si>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</si>
  <si>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</si>
  <si>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</si>
  <si>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</si>
  <si>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</si>
  <si>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</si>
  <si>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</si>
  <si>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</si>
  <si>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</si>
  <si>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</si>
  <si>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</si>
  <si>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</si>
  <si>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</si>
  <si>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</si>
  <si>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</si>
  <si>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</si>
  <si>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</si>
  <si>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</si>
  <si>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</si>
  <si>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</si>
  <si>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</si>
  <si>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</si>
  <si>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</si>
  <si>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</si>
  <si>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</si>
  <si>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</si>
  <si>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</si>
  <si>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</si>
  <si>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</si>
  <si>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</si>
  <si>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</si>
  <si>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</si>
  <si>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</si>
  <si>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</si>
  <si>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</si>
  <si>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</si>
  <si>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</si>
  <si>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</si>
  <si>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</si>
  <si>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</si>
  <si>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</si>
  <si>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</si>
  <si>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</si>
  <si>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</si>
  <si>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</si>
  <si>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</si>
  <si>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</si>
  <si>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</si>
  <si>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</si>
  <si>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</si>
  <si>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</si>
  <si>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</si>
  <si>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</si>
  <si>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</si>
  <si>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</si>
  <si>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</si>
  <si>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</si>
  <si>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</si>
  <si>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</si>
  <si>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</si>
  <si>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</si>
  <si>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</si>
  <si>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</si>
  <si>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</si>
  <si>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</si>
  <si>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</si>
  <si>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</si>
  <si>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</si>
  <si>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</si>
  <si>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</si>
  <si>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</si>
  <si>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</si>
  <si>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</si>
  <si>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</si>
  <si>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</si>
  <si>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</si>
  <si>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</si>
  <si>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</si>
  <si>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</si>
  <si>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</si>
  <si>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</si>
  <si>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</si>
  <si>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</si>
  <si>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</si>
  <si>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</si>
  <si>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</si>
  <si>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</si>
  <si>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</si>
  <si>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</si>
  <si>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</si>
  <si>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</si>
  <si>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</si>
  <si>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</si>
  <si>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</si>
  <si>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</si>
  <si>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</si>
  <si>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</si>
  <si>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</si>
  <si>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</si>
  <si>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</si>
  <si>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</si>
  <si>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</si>
  <si>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</si>
  <si>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</si>
  <si>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</si>
  <si>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</si>
  <si>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</si>
  <si>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</si>
  <si>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</si>
  <si>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</si>
  <si>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</si>
  <si>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</si>
  <si>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</si>
  <si>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</si>
  <si>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</si>
  <si>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</si>
  <si>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</si>
  <si>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</si>
  <si>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</si>
  <si>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</si>
  <si>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</si>
  <si>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</si>
  <si>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</si>
  <si>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</si>
  <si>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</si>
  <si>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</si>
  <si>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</si>
  <si>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</si>
  <si>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</si>
  <si>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</si>
  <si>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</si>
  <si>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</si>
  <si>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</si>
  <si>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</si>
  <si>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</si>
  <si>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</si>
  <si>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</si>
  <si>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</si>
  <si>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</si>
  <si>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</si>
  <si>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</si>
  <si>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</si>
  <si>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</si>
  <si>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</si>
  <si>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</si>
  <si>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</si>
  <si>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</si>
  <si>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</si>
  <si>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</si>
  <si>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</si>
  <si>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</si>
  <si>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</si>
  <si>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</si>
  <si>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</si>
  <si>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</si>
  <si>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</si>
  <si>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</si>
  <si>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</si>
  <si>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</si>
  <si>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</si>
  <si>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</si>
  <si>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</si>
  <si>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</si>
  <si>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</si>
  <si>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</si>
  <si>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</si>
  <si>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</si>
  <si>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</si>
  <si>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</si>
  <si>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</si>
  <si>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</si>
  <si>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</si>
  <si>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</si>
  <si>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</si>
  <si>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</si>
  <si>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</si>
  <si>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</si>
  <si>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</si>
  <si>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</si>
  <si>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</si>
  <si>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</si>
  <si>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</si>
  <si>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</si>
  <si>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</si>
  <si>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</si>
  <si>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</si>
  <si>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</si>
  <si>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</si>
  <si>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</si>
  <si>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</si>
  <si>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</si>
  <si>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</si>
  <si>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</si>
  <si>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</si>
  <si>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</si>
  <si>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</si>
  <si>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</si>
  <si>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</si>
  <si>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</si>
  <si>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</si>
  <si>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</si>
  <si>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</si>
  <si>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</si>
  <si>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</si>
  <si>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</si>
  <si>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</si>
  <si>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</si>
  <si>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</si>
  <si>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</si>
  <si>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</si>
  <si>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</si>
  <si>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</si>
  <si>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</si>
  <si>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</si>
  <si>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</si>
  <si>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</si>
  <si>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</si>
  <si>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</si>
  <si>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</si>
  <si>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</si>
  <si>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</si>
  <si>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</si>
  <si>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</si>
  <si>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</si>
  <si>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</si>
  <si>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</si>
  <si>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</si>
  <si>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</si>
  <si>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</si>
  <si>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</si>
  <si>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</si>
  <si>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</si>
  <si>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</si>
  <si>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</si>
  <si>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</si>
  <si>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</si>
  <si>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</si>
  <si>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</si>
  <si>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</si>
  <si>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</si>
  <si>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</si>
  <si>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</si>
  <si>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</si>
  <si>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</si>
  <si>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</si>
  <si>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</si>
  <si>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</si>
  <si>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</si>
  <si>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</si>
  <si>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</si>
  <si>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</si>
  <si>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</si>
  <si>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</si>
  <si>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</si>
  <si>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</si>
  <si>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</si>
  <si>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</si>
  <si>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</si>
  <si>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</si>
  <si>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</si>
  <si>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</si>
  <si>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</si>
  <si>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</si>
  <si>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</si>
  <si>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</si>
  <si>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</si>
  <si>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</si>
  <si>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</si>
  <si>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</si>
  <si>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</si>
  <si>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</si>
  <si>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</si>
  <si>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</si>
  <si>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</si>
  <si>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</si>
  <si>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</si>
  <si>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</si>
  <si>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</si>
  <si>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</si>
  <si>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</si>
  <si>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</si>
  <si>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</si>
  <si>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</si>
  <si>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</si>
  <si>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</si>
  <si>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</si>
  <si>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</si>
  <si>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</si>
  <si>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</si>
  <si>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</si>
  <si>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</si>
  <si>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</si>
  <si>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</si>
  <si>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</si>
  <si>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</si>
  <si>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</si>
  <si>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</si>
  <si>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</si>
  <si>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</si>
  <si>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</si>
  <si>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</si>
  <si>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</si>
  <si>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</si>
  <si>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</si>
  <si>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</si>
  <si>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</si>
  <si>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</si>
  <si>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</si>
  <si>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</si>
  <si>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</si>
  <si>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</si>
  <si>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</si>
  <si>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</si>
  <si>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</si>
  <si>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</si>
  <si>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</si>
  <si>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</si>
  <si>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</si>
  <si>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</si>
  <si>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</si>
  <si>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</si>
  <si>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</si>
  <si>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</si>
  <si>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</si>
  <si>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</si>
  <si>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</si>
  <si>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</si>
  <si>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</si>
  <si>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</si>
  <si>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</si>
  <si>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</si>
  <si>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</si>
  <si>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</si>
  <si>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</si>
  <si>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</si>
  <si>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</si>
  <si>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</si>
  <si>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</si>
  <si>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</si>
  <si>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</si>
  <si>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</si>
  <si>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</si>
  <si>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</si>
  <si>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</si>
  <si>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</si>
  <si>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</si>
  <si>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</si>
  <si>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</si>
  <si>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</si>
  <si>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</si>
  <si>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</si>
  <si>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</si>
  <si>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</si>
  <si>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</si>
  <si>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</si>
  <si>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</si>
  <si>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</si>
  <si>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</si>
  <si>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</si>
  <si>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</si>
  <si>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</si>
  <si>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</si>
  <si>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</si>
  <si>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</si>
  <si>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</si>
  <si>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</si>
  <si>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</si>
  <si>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</si>
  <si>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</si>
  <si>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</si>
  <si>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</si>
  <si>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</si>
  <si>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</si>
  <si>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</si>
  <si>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</si>
  <si>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</si>
  <si>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</si>
  <si>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</si>
  <si>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</si>
  <si>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</si>
  <si>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</si>
  <si>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</si>
  <si>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</si>
  <si>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</si>
  <si>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</si>
  <si>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</si>
  <si>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</si>
  <si>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</si>
  <si>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</si>
  <si>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</si>
  <si>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</si>
  <si>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</si>
  <si>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</si>
  <si>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</si>
  <si>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</si>
  <si>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</si>
  <si>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</si>
  <si>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</si>
  <si>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</si>
  <si>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</si>
  <si>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</si>
  <si>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</si>
  <si>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</si>
  <si>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</si>
  <si>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</si>
  <si>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</si>
  <si>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</si>
  <si>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</si>
  <si>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</si>
  <si>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</si>
  <si>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</si>
  <si>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</si>
  <si>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</si>
  <si>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</si>
  <si>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</si>
  <si>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</si>
  <si>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</si>
  <si>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</si>
  <si>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</si>
  <si>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</si>
  <si>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</si>
  <si>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</si>
  <si>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</si>
  <si>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</si>
  <si>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</si>
  <si>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</si>
  <si>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</si>
  <si>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</si>
  <si>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</si>
  <si>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</si>
  <si>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</si>
  <si>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</si>
  <si>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</si>
  <si>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</si>
  <si>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</si>
  <si>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</si>
  <si>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</si>
  <si>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</si>
  <si>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</si>
  <si>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</si>
  <si>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</si>
  <si>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</si>
  <si>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</si>
  <si>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</si>
  <si>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</si>
  <si>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</si>
  <si>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</si>
  <si>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</si>
  <si>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</si>
  <si>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</si>
  <si>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</si>
  <si>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</si>
  <si>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</si>
  <si>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</si>
  <si>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</si>
  <si>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</si>
  <si>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</si>
  <si>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</si>
  <si>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</si>
  <si>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</si>
  <si>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</si>
  <si>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</si>
  <si>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</si>
  <si>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</si>
  <si>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</si>
  <si>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</si>
  <si>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</si>
  <si>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</si>
  <si>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</si>
  <si>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</si>
  <si>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</si>
  <si>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</si>
  <si>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</si>
  <si>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</si>
  <si>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</si>
  <si>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</si>
  <si>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</si>
  <si>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</si>
  <si>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</si>
  <si>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</si>
  <si>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</si>
  <si>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</si>
  <si>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</si>
  <si>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</si>
  <si>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</si>
  <si>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</si>
  <si>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</si>
  <si>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</si>
  <si>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</si>
  <si>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</si>
  <si>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</si>
  <si>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</si>
  <si>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</si>
  <si>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</si>
  <si>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</si>
  <si>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</si>
  <si>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</si>
  <si>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</si>
  <si>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</si>
  <si>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</si>
  <si>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</si>
  <si>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</si>
  <si>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</si>
  <si>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</si>
  <si>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</si>
  <si>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</si>
  <si>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</si>
  <si>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</si>
  <si>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</si>
  <si>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</si>
  <si>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</si>
  <si>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</si>
  <si>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</si>
  <si>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</si>
  <si>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</si>
  <si>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</si>
  <si>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</si>
  <si>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</si>
  <si>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</si>
  <si>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</si>
  <si>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</si>
  <si>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</si>
  <si>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</si>
  <si>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</si>
  <si>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</si>
  <si>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</si>
  <si>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</si>
  <si>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</si>
  <si>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</si>
  <si>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</si>
  <si>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</si>
  <si>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</si>
  <si>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</si>
  <si>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</si>
  <si>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</si>
  <si>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</si>
  <si>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</si>
  <si>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</si>
  <si>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</si>
  <si>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</si>
  <si>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</si>
  <si>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</si>
  <si>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</si>
  <si>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</si>
  <si>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</si>
  <si>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</si>
  <si>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</si>
  <si>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</si>
  <si>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</si>
  <si>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</si>
  <si>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</si>
  <si>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</si>
  <si>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</si>
  <si>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</si>
  <si>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</si>
  <si>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</si>
  <si>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</si>
  <si>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</si>
  <si>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</si>
  <si>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</si>
  <si>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</si>
  <si>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</si>
  <si>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</si>
  <si>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</si>
  <si>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</si>
  <si>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</si>
  <si>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</si>
  <si>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</si>
  <si>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</si>
  <si>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</si>
  <si>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</si>
  <si>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</si>
  <si>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</si>
  <si>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</si>
  <si>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</si>
  <si>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</si>
  <si>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</si>
  <si>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</si>
  <si>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</si>
  <si>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</si>
  <si>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</si>
  <si>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</si>
  <si>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</si>
  <si>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</si>
  <si>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</si>
  <si>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</si>
  <si>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</si>
  <si>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</si>
  <si>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</si>
  <si>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</si>
  <si>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</si>
  <si>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</si>
  <si>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</si>
  <si>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</si>
  <si>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</si>
  <si>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</si>
  <si>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</si>
  <si>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</si>
  <si>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</si>
  <si>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</si>
  <si>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</si>
  <si>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</si>
  <si>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</si>
  <si>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</si>
  <si>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</si>
  <si>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</si>
  <si>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</si>
  <si>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</si>
  <si>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</si>
  <si>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</si>
  <si>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</si>
  <si>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</si>
  <si>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</si>
  <si>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</si>
  <si>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</si>
  <si>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</si>
  <si>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</si>
  <si>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</si>
  <si>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</si>
  <si>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</si>
  <si>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</si>
  <si>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</si>
  <si>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</si>
  <si>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</si>
  <si>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</si>
  <si>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</si>
  <si>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</si>
  <si>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</si>
  <si>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</si>
  <si>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</si>
  <si>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</si>
  <si>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</si>
  <si>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</si>
  <si>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</si>
  <si>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</si>
  <si>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</si>
  <si>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</si>
  <si>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</si>
  <si>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</si>
  <si>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</si>
  <si>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</si>
  <si>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</si>
  <si>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</si>
  <si>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</si>
  <si>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</si>
  <si>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</si>
  <si>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</si>
  <si>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</si>
  <si>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</si>
  <si>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</si>
  <si>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</si>
  <si>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</si>
  <si>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</si>
  <si>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</si>
  <si>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</si>
  <si>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</si>
  <si>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</si>
  <si>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</si>
  <si>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</si>
  <si>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</si>
  <si>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</si>
  <si>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</si>
  <si>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</si>
  <si>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</si>
  <si>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</si>
  <si>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</si>
  <si>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</si>
  <si>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</si>
  <si>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</si>
  <si>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</si>
  <si>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</si>
  <si>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</si>
  <si>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</si>
  <si>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</si>
  <si>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</si>
  <si>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</si>
  <si>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</si>
  <si>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</si>
  <si>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</si>
  <si>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</si>
  <si>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</si>
  <si>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</si>
  <si>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</si>
  <si>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</si>
  <si>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</si>
  <si>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</si>
  <si>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</si>
  <si>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</si>
  <si>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</si>
  <si>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</si>
  <si>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</si>
  <si>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</si>
  <si>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</si>
  <si>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</si>
  <si>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</si>
  <si>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</si>
  <si>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</si>
  <si>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</si>
  <si>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</si>
  <si>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</si>
  <si>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</si>
  <si>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</si>
  <si>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</si>
  <si>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</si>
  <si>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</si>
  <si>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</si>
  <si>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</si>
  <si>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</si>
  <si>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</si>
  <si>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</si>
  <si>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</si>
  <si>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</si>
  <si>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</si>
  <si>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</si>
  <si>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</si>
  <si>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</si>
  <si>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</si>
  <si>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</si>
  <si>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</si>
  <si>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</si>
  <si>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</si>
  <si>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</si>
  <si>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</si>
  <si>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</si>
  <si>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</si>
  <si>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</si>
  <si>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</si>
  <si>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</si>
  <si>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</si>
  <si>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</si>
  <si>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</si>
  <si>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</si>
  <si>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</si>
  <si>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</si>
  <si>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</si>
  <si>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</si>
  <si>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</si>
  <si>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</si>
  <si>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</si>
  <si>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</si>
  <si>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</si>
  <si>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</si>
  <si>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</si>
  <si>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</si>
  <si>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</si>
  <si>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</si>
  <si>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</si>
  <si>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</si>
  <si>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</si>
  <si>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</si>
  <si>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</si>
  <si>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</si>
  <si>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</si>
  <si>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</si>
  <si>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</si>
  <si>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</si>
  <si>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</si>
  <si>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</si>
  <si>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</si>
  <si>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</si>
  <si>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</si>
  <si>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</si>
  <si>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</si>
  <si>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</si>
  <si>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</si>
  <si>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</si>
  <si>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</si>
  <si>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</si>
  <si>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</si>
  <si>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</si>
  <si>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</si>
  <si>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</si>
  <si>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</si>
  <si>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</si>
  <si>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</si>
  <si>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</si>
  <si>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</si>
  <si>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</si>
  <si>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</si>
  <si>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</si>
  <si>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</si>
  <si>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</si>
  <si>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</si>
  <si>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</si>
  <si>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</si>
  <si>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</si>
  <si>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</si>
  <si>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</si>
  <si>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</si>
  <si>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</si>
  <si>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</si>
  <si>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</si>
  <si>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</si>
  <si>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</si>
  <si>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</si>
  <si>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</si>
  <si>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</si>
  <si>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</si>
  <si>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</si>
  <si>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</si>
  <si>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</si>
  <si>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</si>
  <si>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</si>
  <si>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</si>
  <si>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</si>
  <si>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</si>
  <si>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</si>
  <si>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</si>
  <si>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</si>
  <si>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</si>
  <si>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</si>
  <si>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</si>
  <si>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</si>
  <si>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</si>
  <si>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</si>
  <si>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</si>
  <si>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</si>
  <si>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</si>
  <si>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</si>
  <si>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</si>
  <si>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</si>
  <si>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</si>
  <si>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</si>
  <si>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</si>
  <si>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</si>
  <si>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</si>
  <si>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</si>
  <si>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</si>
  <si>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</si>
  <si>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</si>
  <si>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</si>
  <si>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</si>
  <si>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</si>
  <si>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</si>
  <si>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</si>
  <si>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</si>
  <si>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</si>
  <si>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</si>
  <si>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</si>
  <si>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</si>
  <si>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</si>
  <si>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</si>
  <si>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</si>
  <si>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</si>
  <si>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</si>
  <si>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</si>
  <si>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</si>
  <si>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</si>
  <si>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</si>
  <si>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</si>
  <si>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</si>
  <si>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</si>
  <si>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</si>
  <si>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</si>
  <si>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</si>
  <si>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</si>
  <si>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</si>
  <si>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</si>
  <si>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</si>
  <si>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</si>
  <si>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</si>
  <si>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</si>
  <si>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</si>
  <si>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</si>
  <si>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</si>
  <si>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</si>
  <si>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</si>
  <si>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</si>
  <si>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</si>
  <si>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</si>
  <si>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</si>
  <si>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</si>
  <si>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</si>
  <si>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</si>
  <si>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</si>
  <si>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</si>
  <si>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</si>
  <si>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</si>
  <si>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</si>
  <si>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</si>
  <si>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</si>
  <si>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</si>
  <si>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</si>
  <si>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</si>
  <si>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</si>
  <si>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</si>
  <si>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</si>
  <si>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</si>
  <si>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</si>
  <si>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</si>
  <si>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</si>
  <si>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</si>
  <si>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</si>
  <si>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</si>
  <si>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</si>
  <si>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</si>
  <si>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</si>
  <si>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</si>
  <si>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</si>
  <si>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</si>
  <si>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</si>
  <si>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</si>
  <si>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</si>
  <si>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</si>
  <si>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</si>
  <si>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</si>
  <si>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</si>
  <si>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</si>
  <si>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</si>
  <si>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</si>
  <si>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</si>
  <si>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</si>
  <si>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</si>
  <si>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</si>
  <si>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</si>
  <si>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</si>
  <si>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</si>
  <si>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</si>
  <si>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</si>
  <si>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</si>
  <si>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</si>
  <si>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</si>
  <si>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</si>
  <si>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</si>
  <si>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</si>
  <si>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</si>
  <si>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</si>
  <si>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</si>
  <si>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</si>
  <si>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</si>
  <si>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</si>
  <si>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</si>
  <si>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</si>
  <si>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</si>
  <si>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</si>
  <si>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</si>
  <si>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</si>
  <si>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</si>
  <si>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</si>
  <si>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</si>
  <si>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</si>
  <si>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</si>
  <si>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</si>
  <si>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</si>
  <si>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</si>
  <si>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</si>
  <si>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</si>
  <si>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</si>
  <si>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</si>
  <si>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</si>
  <si>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</si>
  <si>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</si>
  <si>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</si>
  <si>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</si>
  <si>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</si>
  <si>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</si>
  <si>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</si>
  <si>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</si>
  <si>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</si>
  <si>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</si>
  <si>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</si>
  <si>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</si>
  <si>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</si>
  <si>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</si>
  <si>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</si>
  <si>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</si>
  <si>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</si>
  <si>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</si>
  <si>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</si>
  <si>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</si>
  <si>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</si>
  <si>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</si>
  <si>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</si>
  <si>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</si>
  <si>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</si>
  <si>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</si>
  <si>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</si>
  <si>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</si>
  <si>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</si>
  <si>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</si>
  <si>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</si>
  <si>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</si>
  <si>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</si>
  <si>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</si>
  <si>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</si>
  <si>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</si>
  <si>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</si>
  <si>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</si>
  <si>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</si>
  <si>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</si>
  <si>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</si>
  <si>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</si>
  <si>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</si>
  <si>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</si>
  <si>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</si>
  <si>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</si>
  <si>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</si>
  <si>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</si>
  <si>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</si>
  <si>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</si>
  <si>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</si>
  <si>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</si>
  <si>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</si>
  <si>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</si>
  <si>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</si>
  <si>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</si>
  <si>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</si>
  <si>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</si>
  <si>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</si>
  <si>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</si>
  <si>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</si>
  <si>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</si>
  <si>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</si>
  <si>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</si>
  <si>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</si>
  <si>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</si>
  <si>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</si>
  <si>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</si>
  <si>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</si>
  <si>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</si>
  <si>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</si>
  <si>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</si>
  <si>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</si>
  <si>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</si>
  <si>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</si>
  <si>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</si>
  <si>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</si>
  <si>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</si>
  <si>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</si>
  <si>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</si>
  <si>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</si>
  <si>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</si>
  <si>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</si>
  <si>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</si>
  <si>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</si>
  <si>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</si>
  <si>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</si>
  <si>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</si>
  <si>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</si>
  <si>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</si>
  <si>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</si>
  <si>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</si>
  <si>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</si>
  <si>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</si>
  <si>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</si>
  <si>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</si>
  <si>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</si>
  <si>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</si>
  <si>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</si>
  <si>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</si>
  <si>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</si>
  <si>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</si>
  <si>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</si>
  <si>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</si>
  <si>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</si>
  <si>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</si>
  <si>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</si>
  <si>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</si>
  <si>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</si>
  <si>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</si>
  <si>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</si>
  <si>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</si>
  <si>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</si>
  <si>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</si>
  <si>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</si>
  <si>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</si>
  <si>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</si>
  <si>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</si>
  <si>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</si>
  <si>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</si>
  <si>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</si>
  <si>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</si>
  <si>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</si>
  <si>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</si>
  <si>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</si>
  <si>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</si>
  <si>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</si>
  <si>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</si>
  <si>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</si>
  <si>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</si>
  <si>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</si>
  <si>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</si>
  <si>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</si>
  <si>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</si>
  <si>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</si>
  <si>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</si>
  <si>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</si>
  <si>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</si>
  <si>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</si>
  <si>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</si>
  <si>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</si>
  <si>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</si>
  <si>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</si>
  <si>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</si>
  <si>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</si>
  <si>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</si>
  <si>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</si>
  <si>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</si>
  <si>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</si>
  <si>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</si>
  <si>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</si>
  <si>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</si>
  <si>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</si>
  <si>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</si>
  <si>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</si>
  <si>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</si>
  <si>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</si>
  <si>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</si>
  <si>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</si>
  <si>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</si>
  <si>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</si>
  <si>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</si>
  <si>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</si>
  <si>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</si>
  <si>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</si>
  <si>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</si>
  <si>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</si>
  <si>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</si>
  <si>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</si>
  <si>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</si>
  <si>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</si>
  <si>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</si>
  <si>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</si>
  <si>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</si>
  <si>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</si>
  <si>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</si>
  <si>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</si>
  <si>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</si>
  <si>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</si>
  <si>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</si>
  <si>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</si>
  <si>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</si>
  <si>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</si>
  <si>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</si>
  <si>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</si>
  <si>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</si>
  <si>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</si>
  <si>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</si>
  <si>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</si>
  <si>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</si>
  <si>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</si>
  <si>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</si>
  <si>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</si>
  <si>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</si>
  <si>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</si>
  <si>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</si>
  <si>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</si>
  <si>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</si>
  <si>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</si>
  <si>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</si>
  <si>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</si>
  <si>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</si>
  <si>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</si>
  <si>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</si>
  <si>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</si>
  <si>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</si>
  <si>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</si>
  <si>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</si>
  <si>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</si>
  <si>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</si>
  <si>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</si>
  <si>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</si>
  <si>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</si>
  <si>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</si>
  <si>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</si>
  <si>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</si>
  <si>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</si>
  <si>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</si>
  <si>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</si>
  <si>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</si>
  <si>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</si>
  <si>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</si>
  <si>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</si>
  <si>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</si>
  <si>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</si>
  <si>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</si>
  <si>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</si>
  <si>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</si>
  <si>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</si>
  <si>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</si>
  <si>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</si>
  <si>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</si>
  <si>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</si>
  <si>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</si>
  <si>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</si>
  <si>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</si>
  <si>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</si>
  <si>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</si>
  <si>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</si>
  <si>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</si>
  <si>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</si>
  <si>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</si>
  <si>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</si>
  <si>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</si>
  <si>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</si>
  <si>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</si>
  <si>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</si>
  <si>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</si>
  <si>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</si>
  <si>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</si>
  <si>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</si>
  <si>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</si>
  <si>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</si>
  <si>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</si>
  <si>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</si>
  <si>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</si>
  <si>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</si>
  <si>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</si>
  <si>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</si>
  <si>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</si>
  <si>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</si>
  <si>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</si>
  <si>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</si>
  <si>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</si>
  <si>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</si>
  <si>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</si>
  <si>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</si>
  <si>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</si>
  <si>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</si>
  <si>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</si>
  <si>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</si>
  <si>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</si>
  <si>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</si>
  <si>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</si>
  <si>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</si>
  <si>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</si>
  <si>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</si>
  <si>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</si>
  <si>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</si>
  <si>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</si>
  <si>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</si>
  <si>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</si>
  <si>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</si>
  <si>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</si>
  <si>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</si>
  <si>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</si>
  <si>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</si>
  <si>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</si>
  <si>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</si>
  <si>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</si>
  <si>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</si>
  <si>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</si>
  <si>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</si>
  <si>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</si>
  <si>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</si>
  <si>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</si>
  <si>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</si>
  <si>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</si>
  <si>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</si>
  <si>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</si>
  <si>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</si>
  <si>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</si>
  <si>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</si>
  <si>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</si>
  <si>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</si>
  <si>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</si>
  <si>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</si>
  <si>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</si>
  <si>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</si>
  <si>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</si>
  <si>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</si>
  <si>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</si>
  <si>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</si>
  <si>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</si>
  <si>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</si>
  <si>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</si>
  <si>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</si>
  <si>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</si>
  <si>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</si>
  <si>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</si>
  <si>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</si>
  <si>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</si>
  <si>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</si>
  <si>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</si>
  <si>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</si>
  <si>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</si>
  <si>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</si>
  <si>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</si>
  <si>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</si>
  <si>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</si>
  <si>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</si>
  <si>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</si>
  <si>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</si>
  <si>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</si>
  <si>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</si>
  <si>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</si>
  <si>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</si>
  <si>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</si>
  <si>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</si>
  <si>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</si>
  <si>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</si>
  <si>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</si>
  <si>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</si>
  <si>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</si>
  <si>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</si>
  <si>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</si>
  <si>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</si>
  <si>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</si>
  <si>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</si>
  <si>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</si>
  <si>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</si>
  <si>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</si>
  <si>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</si>
  <si>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</si>
  <si>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</si>
  <si>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</si>
  <si>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</si>
  <si>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</si>
  <si>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</si>
  <si>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</si>
  <si>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</si>
  <si>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</si>
  <si>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</si>
  <si>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</si>
  <si>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</si>
  <si>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</si>
  <si>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</si>
  <si>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</si>
  <si>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</si>
  <si>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</si>
  <si>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</si>
  <si>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</si>
  <si>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</si>
  <si>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</si>
  <si>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</si>
  <si>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</si>
  <si>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</si>
  <si>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</si>
  <si>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</si>
  <si>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</si>
  <si>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</si>
  <si>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</si>
  <si>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</si>
  <si>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</si>
  <si>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</si>
  <si>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</si>
  <si>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</si>
  <si>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</si>
  <si>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</si>
  <si>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</si>
  <si>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</si>
  <si>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</si>
  <si>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</si>
  <si>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</si>
  <si>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</si>
  <si>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</si>
  <si>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</si>
  <si>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</si>
  <si>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</si>
  <si>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</si>
  <si>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</si>
  <si>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</si>
  <si>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</si>
  <si>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</si>
  <si>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</si>
  <si>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</si>
  <si>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</si>
  <si>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</si>
  <si>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</si>
  <si>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</si>
  <si>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</si>
  <si>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</si>
  <si>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</si>
  <si>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</si>
  <si>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</si>
  <si>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</si>
  <si>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</si>
  <si>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</si>
  <si>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</si>
  <si>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</si>
  <si>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</si>
  <si>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</si>
  <si>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</si>
  <si>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</si>
  <si>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</si>
  <si>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</si>
  <si>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</si>
  <si>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</si>
  <si>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</si>
  <si>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</si>
  <si>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</si>
  <si>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</si>
  <si>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</si>
  <si>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</si>
  <si>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</si>
  <si>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</si>
  <si>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</si>
  <si>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</si>
  <si>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</si>
  <si>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</si>
  <si>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</si>
  <si>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</si>
  <si>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</si>
  <si>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</si>
  <si>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</si>
  <si>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</si>
  <si>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</si>
  <si>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</si>
  <si>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</si>
  <si>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</si>
  <si>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</si>
  <si>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</si>
  <si>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</si>
  <si>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</si>
  <si>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</si>
  <si>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</si>
  <si>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</si>
  <si>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</si>
  <si>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</si>
  <si>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</si>
  <si>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</si>
  <si>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</si>
  <si>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</si>
  <si>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</si>
  <si>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</si>
  <si>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</si>
  <si>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</si>
  <si>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</si>
  <si>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</si>
  <si>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</si>
  <si>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</si>
  <si>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</si>
  <si>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</si>
  <si>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</si>
  <si>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</si>
  <si>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</si>
  <si>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</si>
  <si>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</si>
  <si>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</si>
  <si>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</si>
  <si>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</si>
  <si>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</si>
  <si>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</si>
  <si>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</si>
  <si>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</si>
  <si>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</si>
  <si>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</si>
  <si>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</si>
  <si>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</si>
  <si>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</si>
  <si>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</si>
  <si>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</si>
  <si>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</si>
  <si>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</si>
  <si>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</si>
  <si>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</si>
  <si>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</si>
  <si>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</si>
  <si>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</si>
  <si>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</si>
  <si>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</si>
  <si>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</si>
  <si>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</si>
  <si>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</si>
  <si>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</si>
  <si>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</si>
  <si>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</si>
  <si>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</si>
  <si>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</si>
  <si>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</si>
  <si>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</si>
  <si>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</si>
  <si>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</si>
  <si>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</si>
  <si>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</si>
  <si>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</si>
  <si>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</si>
  <si>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</si>
  <si>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</si>
  <si>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</si>
  <si>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</si>
  <si>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</si>
  <si>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</si>
  <si>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</si>
  <si>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</si>
  <si>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</si>
  <si>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</si>
  <si>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</si>
  <si>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</si>
  <si>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</si>
  <si>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</si>
  <si>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</si>
  <si>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</si>
  <si>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</si>
  <si>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</si>
  <si>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</si>
  <si>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</si>
  <si>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</si>
  <si>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</si>
  <si>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</si>
  <si>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</si>
  <si>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</si>
  <si>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</si>
  <si>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</si>
  <si>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</si>
  <si>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</si>
  <si>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</si>
  <si>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</si>
  <si>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</si>
  <si>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</si>
  <si>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</si>
  <si>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</si>
  <si>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</si>
  <si>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</si>
  <si>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</si>
  <si>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</si>
  <si>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</si>
  <si>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</si>
  <si>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</si>
  <si>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</si>
  <si>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</si>
  <si>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</si>
  <si>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</si>
  <si>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</si>
  <si>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</si>
  <si>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</si>
  <si>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</si>
  <si>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</si>
  <si>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</si>
  <si>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</si>
  <si>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</si>
  <si>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</si>
  <si>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</si>
  <si>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</si>
  <si>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</si>
  <si>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</si>
  <si>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</si>
  <si>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</si>
  <si>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</si>
  <si>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</si>
  <si>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</si>
  <si>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</si>
  <si>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</si>
  <si>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</si>
  <si>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</si>
  <si>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</si>
  <si>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</si>
  <si>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</si>
  <si>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</si>
  <si>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</si>
  <si>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</si>
  <si>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</si>
  <si>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</si>
  <si>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</si>
  <si>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</si>
  <si>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</si>
  <si>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</si>
  <si>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</si>
  <si>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</si>
  <si>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</si>
  <si>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</si>
  <si>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</si>
  <si>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</si>
  <si>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</si>
  <si>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</si>
  <si>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</si>
  <si>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</si>
  <si>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</si>
  <si>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</si>
  <si>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</si>
  <si>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</si>
  <si>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</si>
  <si>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</si>
  <si>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</si>
  <si>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</si>
  <si>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</si>
  <si>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</si>
  <si>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</si>
  <si>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</si>
  <si>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</si>
  <si>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</si>
  <si>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</si>
  <si>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</si>
  <si>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</si>
  <si>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</si>
  <si>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</si>
  <si>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</si>
  <si>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</si>
  <si>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</si>
  <si>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</si>
  <si>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</si>
  <si>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</si>
  <si>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</si>
  <si>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</si>
  <si>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</si>
  <si>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</si>
  <si>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</si>
  <si>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</si>
  <si>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</si>
  <si>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</si>
  <si>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</si>
  <si>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</si>
  <si>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</si>
  <si>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</si>
  <si>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</si>
  <si>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</si>
  <si>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</si>
  <si>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</si>
  <si>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</si>
  <si>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</si>
  <si>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</si>
  <si>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</si>
  <si>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</si>
  <si>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</si>
  <si>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</si>
  <si>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</si>
  <si>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</si>
  <si>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</si>
  <si>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</si>
  <si>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</si>
  <si>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</si>
  <si>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</si>
  <si>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</si>
  <si>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</si>
  <si>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</si>
  <si>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</si>
  <si>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</si>
  <si>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</si>
  <si>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</si>
  <si>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</si>
  <si>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</si>
  <si>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</si>
  <si>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</si>
  <si>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</si>
  <si>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</si>
  <si>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</si>
  <si>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</si>
  <si>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</si>
  <si>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</si>
  <si>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</si>
  <si>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</si>
  <si>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</si>
  <si>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</si>
  <si>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</si>
  <si>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</si>
  <si>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</si>
  <si>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</si>
  <si>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</si>
  <si>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</si>
  <si>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</si>
  <si>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</si>
  <si>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</si>
  <si>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</si>
  <si>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</si>
  <si>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</si>
  <si>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</si>
  <si>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</si>
  <si>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</si>
  <si>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</si>
  <si>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</si>
  <si>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</si>
  <si>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</si>
  <si>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</si>
  <si>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</si>
  <si>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</si>
  <si>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</si>
  <si>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</si>
  <si>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</si>
  <si>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</si>
  <si>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</si>
  <si>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</si>
  <si>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</si>
  <si>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</si>
  <si>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</si>
  <si>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</si>
  <si>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</si>
  <si>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</si>
  <si>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</si>
  <si>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</si>
  <si>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</si>
  <si>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</si>
  <si>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</si>
  <si>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</si>
  <si>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</si>
  <si>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</si>
  <si>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</si>
  <si>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</si>
  <si>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</si>
  <si>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</si>
  <si>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</si>
  <si>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</si>
  <si>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</si>
  <si>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</si>
  <si>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</si>
  <si>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</si>
  <si>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</si>
  <si>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</si>
  <si>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</si>
  <si>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</si>
  <si>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</si>
  <si>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</si>
  <si>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</si>
  <si>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</si>
  <si>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</si>
  <si>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</si>
  <si>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</si>
  <si>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</si>
  <si>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</si>
  <si>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</si>
  <si>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</si>
  <si>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</si>
  <si>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</si>
  <si>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</si>
  <si>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</si>
  <si>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</si>
  <si>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</si>
  <si>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</si>
  <si>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</si>
  <si>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</si>
  <si>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</si>
  <si>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</si>
  <si>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</si>
  <si>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</si>
  <si>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</si>
  <si>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</si>
  <si>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</si>
  <si>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</si>
  <si>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</si>
  <si>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</si>
  <si>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</si>
  <si>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</si>
  <si>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</si>
  <si>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</si>
  <si>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</si>
  <si>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</si>
  <si>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</si>
  <si>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</si>
  <si>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</si>
  <si>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</si>
  <si>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</si>
  <si>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</si>
  <si>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</si>
  <si>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</si>
  <si>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</si>
  <si>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</si>
  <si>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</si>
  <si>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</si>
  <si>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</si>
  <si>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</si>
  <si>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</si>
  <si>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</si>
  <si>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</si>
  <si>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</si>
  <si>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</si>
  <si>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</si>
  <si>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</si>
  <si>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</si>
  <si>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</si>
  <si>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</si>
  <si>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</si>
  <si>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</si>
  <si>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</si>
  <si>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</si>
  <si>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</si>
  <si>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</si>
  <si>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</si>
  <si>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</si>
  <si>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</si>
  <si>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</si>
  <si>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</si>
  <si>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</si>
  <si>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</si>
  <si>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</si>
  <si>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</si>
  <si>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</si>
  <si>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</si>
  <si>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</si>
  <si>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</si>
  <si>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</si>
  <si>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</si>
  <si>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</si>
  <si>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</si>
  <si>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</si>
  <si>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</si>
  <si>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</si>
  <si>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</si>
  <si>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</si>
  <si>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</si>
  <si>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</si>
  <si>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</si>
  <si>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</si>
  <si>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</si>
  <si>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</si>
  <si>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</si>
  <si>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</si>
  <si>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</si>
  <si>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</si>
  <si>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</si>
  <si>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</si>
  <si>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</si>
  <si>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</si>
  <si>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</si>
  <si>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</si>
  <si>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</si>
  <si>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</si>
  <si>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</si>
  <si>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</si>
  <si>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</si>
  <si>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</si>
  <si>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</si>
  <si>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</si>
  <si>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</si>
  <si>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</si>
  <si>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</si>
  <si>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</si>
  <si>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</si>
  <si>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</si>
  <si>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</si>
  <si>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</si>
  <si>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</si>
  <si>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</si>
  <si>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</si>
  <si>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</si>
  <si>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</si>
  <si>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</si>
  <si>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</si>
  <si>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</si>
  <si>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</si>
  <si>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</si>
  <si>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</si>
  <si>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</si>
  <si>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</si>
  <si>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</si>
  <si>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</si>
  <si>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</si>
  <si>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</si>
  <si>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</si>
  <si>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</si>
  <si>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</si>
  <si>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</si>
  <si>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</si>
  <si>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</si>
  <si>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</si>
  <si>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</si>
  <si>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</si>
  <si>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</si>
  <si>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</si>
  <si>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</si>
  <si>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</si>
  <si>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</si>
  <si>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</si>
  <si>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</si>
  <si>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</si>
  <si>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</si>
  <si>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</si>
  <si>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</si>
  <si>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</si>
  <si>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</si>
  <si>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</si>
  <si>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</si>
  <si>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</si>
  <si>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</si>
  <si>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</si>
  <si>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</si>
  <si>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</si>
  <si>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</si>
  <si>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</si>
  <si>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</si>
  <si>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</si>
  <si>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</si>
  <si>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</si>
  <si>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</si>
  <si>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</si>
  <si>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</si>
  <si>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</si>
  <si>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</si>
  <si>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</si>
  <si>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</si>
  <si>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</si>
  <si>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</si>
  <si>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</si>
  <si>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</si>
  <si>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</si>
  <si>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</si>
  <si>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</si>
  <si>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</si>
  <si>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</si>
  <si>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</si>
  <si>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</si>
  <si>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</si>
  <si>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</si>
  <si>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</si>
  <si>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</si>
  <si>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</si>
  <si>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</si>
  <si>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</si>
  <si>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</si>
  <si>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</si>
  <si>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</si>
  <si>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</si>
  <si>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</si>
  <si>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</si>
  <si>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</si>
  <si>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</si>
  <si>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</si>
  <si>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</si>
  <si>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</si>
  <si>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</si>
  <si>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</si>
  <si>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</si>
  <si>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</si>
  <si>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</si>
  <si>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</si>
  <si>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</si>
  <si>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</si>
  <si>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</si>
  <si>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</si>
  <si>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</si>
  <si>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</si>
  <si>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</si>
  <si>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</si>
  <si>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</si>
  <si>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</si>
  <si>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</si>
  <si>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</si>
  <si>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</si>
  <si>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</si>
  <si>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</si>
  <si>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</si>
  <si>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</si>
  <si>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</si>
  <si>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</si>
  <si>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</si>
  <si>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</si>
  <si>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</si>
  <si>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</si>
  <si>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</si>
  <si>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</si>
  <si>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</si>
  <si>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</si>
  <si>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</si>
  <si>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</si>
  <si>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</si>
  <si>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</si>
  <si>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</si>
  <si>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</si>
  <si>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</si>
  <si>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</si>
  <si>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</si>
  <si>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</si>
  <si>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</si>
  <si>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</si>
  <si>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</si>
  <si>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</si>
  <si>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</si>
  <si>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</si>
  <si>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</si>
  <si>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</si>
  <si>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</si>
  <si>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</si>
  <si>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</si>
  <si>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</si>
  <si>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</si>
  <si>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</si>
  <si>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</si>
  <si>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</si>
  <si>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</si>
  <si>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</si>
  <si>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</si>
  <si>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</si>
  <si>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</si>
  <si>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</si>
  <si>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</si>
  <si>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</si>
  <si>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</si>
  <si>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</si>
  <si>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</si>
  <si>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</si>
  <si>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</si>
  <si>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</si>
  <si>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</si>
  <si>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</si>
  <si>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</si>
  <si>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</si>
  <si>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</si>
  <si>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</si>
  <si>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</si>
  <si>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</si>
  <si>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</si>
  <si>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</si>
  <si>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</si>
  <si>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</si>
  <si>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</si>
  <si>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</si>
  <si>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</si>
  <si>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</si>
  <si>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</si>
  <si>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</si>
  <si>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</si>
  <si>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</si>
  <si>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</si>
  <si>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</si>
  <si>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</si>
  <si>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</si>
  <si>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</si>
  <si>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</si>
  <si>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</si>
  <si>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</si>
  <si>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</si>
  <si>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</si>
  <si>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</si>
  <si>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</si>
  <si>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</si>
  <si>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</si>
  <si>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</si>
  <si>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</si>
  <si>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</si>
  <si>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</si>
  <si>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</si>
  <si>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</si>
  <si>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</si>
  <si>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</si>
  <si>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</si>
  <si>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</si>
  <si>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</si>
  <si>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</si>
  <si>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</si>
  <si>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</si>
  <si>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</si>
  <si>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</si>
  <si>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</si>
  <si>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</si>
  <si>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</si>
  <si>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</si>
  <si>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</si>
  <si>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</si>
  <si>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</si>
  <si>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</si>
  <si>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</si>
  <si>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</si>
  <si>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</si>
  <si>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</si>
  <si>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</si>
  <si>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</si>
  <si>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</si>
  <si>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</si>
  <si>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</si>
  <si>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</si>
  <si>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</si>
  <si>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</si>
  <si>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</si>
  <si>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</si>
  <si>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</si>
  <si>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</si>
  <si>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</si>
  <si>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</si>
  <si>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</si>
  <si>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</si>
  <si>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</si>
  <si>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</si>
  <si>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</si>
  <si>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</si>
  <si>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</si>
  <si>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</si>
  <si>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</si>
  <si>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</si>
  <si>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</si>
  <si>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</si>
  <si>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</si>
  <si>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</si>
  <si>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</si>
  <si>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</si>
  <si>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</si>
  <si>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</si>
  <si>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</si>
  <si>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</si>
  <si>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</si>
  <si>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</si>
  <si>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</si>
  <si>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</si>
  <si>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</si>
  <si>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</si>
  <si>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</si>
  <si>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</si>
  <si>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</si>
  <si>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</si>
  <si>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</si>
  <si>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</si>
  <si>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</si>
  <si>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</si>
  <si>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</si>
  <si>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</si>
  <si>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</si>
  <si>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</si>
  <si>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</si>
  <si>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</si>
  <si>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</si>
  <si>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</si>
  <si>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</si>
  <si>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</si>
  <si>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</si>
  <si>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</si>
  <si>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</si>
  <si>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</si>
  <si>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</si>
  <si>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</si>
  <si>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</si>
  <si>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</si>
  <si>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</si>
  <si>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</si>
  <si>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</si>
  <si>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</si>
  <si>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</si>
  <si>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</si>
  <si>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</si>
  <si>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</si>
  <si>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</si>
  <si>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</si>
  <si>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</si>
  <si>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</si>
  <si>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</si>
  <si>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</si>
  <si>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</si>
  <si>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</si>
  <si>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</si>
  <si>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</si>
  <si>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</si>
  <si>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</si>
  <si>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</si>
  <si>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</si>
  <si>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</si>
  <si>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</si>
  <si>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</si>
  <si>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</si>
  <si>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</si>
  <si>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</si>
  <si>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</si>
  <si>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</si>
  <si>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</si>
  <si>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</si>
  <si>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</si>
  <si>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</si>
  <si>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</si>
  <si>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</si>
  <si>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</si>
  <si>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</si>
  <si>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</si>
  <si>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</si>
  <si>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</si>
  <si>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</si>
  <si>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</si>
  <si>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</si>
  <si>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</si>
  <si>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</si>
  <si>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</si>
  <si>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</si>
  <si>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</si>
  <si>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</si>
  <si>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</si>
  <si>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</si>
  <si>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</si>
  <si>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</si>
  <si>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</si>
  <si>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</si>
  <si>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</si>
  <si>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</si>
  <si>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</si>
  <si>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</si>
  <si>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</si>
  <si>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</si>
  <si>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</si>
  <si>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</si>
  <si>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</si>
  <si>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</si>
  <si>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</si>
  <si>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</si>
  <si>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</si>
  <si>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</si>
  <si>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</si>
  <si>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</si>
  <si>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</si>
  <si>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</si>
  <si>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</si>
  <si>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</si>
  <si>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</si>
  <si>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</si>
  <si>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</si>
  <si>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</si>
  <si>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</si>
  <si>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</si>
  <si>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</si>
  <si>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</si>
  <si>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</si>
  <si>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</si>
  <si>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</si>
  <si>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</si>
  <si>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</si>
  <si>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</si>
  <si>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</si>
  <si>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</si>
  <si>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</si>
  <si>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</si>
  <si>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</si>
  <si>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</si>
  <si>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</si>
  <si>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</si>
  <si>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</si>
  <si>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</si>
  <si>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</si>
  <si>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</si>
  <si>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</si>
  <si>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</si>
  <si>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</si>
  <si>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</si>
  <si>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</si>
  <si>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</si>
  <si>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</si>
  <si>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</si>
  <si>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</si>
  <si>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</si>
  <si>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</si>
  <si>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</si>
  <si>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</si>
  <si>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</si>
  <si>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</si>
  <si>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</si>
  <si>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</si>
  <si>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</si>
  <si>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</si>
  <si>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</si>
  <si>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</si>
  <si>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</si>
  <si>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</si>
  <si>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</si>
  <si>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</si>
  <si>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</si>
  <si>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</si>
  <si>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</si>
  <si>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</si>
  <si>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</si>
  <si>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</si>
  <si>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</si>
  <si>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</si>
  <si>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</si>
  <si>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</si>
  <si>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</si>
  <si>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</si>
  <si>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</si>
  <si>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</si>
  <si>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</si>
  <si>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</si>
  <si>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</si>
  <si>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</si>
  <si>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</si>
  <si>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</si>
  <si>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</si>
  <si>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</si>
  <si>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</si>
  <si>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</si>
  <si>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</si>
  <si>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</si>
  <si>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</si>
  <si>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</si>
  <si>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</si>
  <si>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</si>
  <si>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</si>
  <si>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</si>
  <si>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</si>
  <si>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</si>
  <si>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</si>
  <si>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</si>
  <si>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</si>
  <si>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</si>
  <si>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</si>
  <si>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</si>
  <si>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</si>
  <si>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</si>
  <si>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</si>
  <si>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</si>
  <si>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</si>
  <si>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</si>
  <si>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</si>
  <si>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</si>
  <si>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</si>
  <si>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</si>
  <si>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</si>
  <si>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</si>
  <si>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</si>
  <si>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</si>
  <si>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</si>
  <si>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</si>
  <si>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</si>
  <si>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</si>
  <si>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</si>
  <si>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</si>
  <si>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</si>
  <si>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</si>
  <si>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</si>
  <si>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</si>
  <si>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</si>
  <si>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</si>
  <si>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</si>
  <si>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</si>
  <si>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</si>
  <si>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</si>
  <si>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</si>
  <si>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</si>
  <si>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</si>
  <si>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</si>
  <si>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</si>
  <si>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</si>
  <si>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</si>
  <si>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</si>
  <si>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</si>
  <si>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</si>
  <si>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</si>
  <si>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</si>
  <si>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</si>
  <si>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</si>
  <si>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</si>
  <si>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</si>
  <si>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</si>
  <si>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</si>
  <si>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</si>
  <si>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</si>
  <si>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</si>
  <si>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</si>
  <si>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</si>
  <si>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</si>
  <si>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</si>
  <si>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</si>
  <si>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</si>
  <si>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</si>
  <si>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</si>
  <si>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</si>
  <si>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</si>
  <si>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</si>
  <si>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</si>
  <si>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</si>
  <si>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</si>
  <si>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</si>
  <si>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</si>
  <si>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</si>
  <si>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</si>
  <si>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</si>
  <si>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</si>
  <si>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</si>
  <si>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</si>
  <si>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</si>
  <si>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</si>
  <si>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</si>
  <si>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</si>
  <si>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</si>
  <si>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</si>
  <si>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</si>
  <si>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</si>
  <si>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</si>
  <si>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</si>
  <si>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</si>
  <si>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</si>
  <si>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</si>
  <si>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</si>
  <si>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</si>
  <si>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</si>
  <si>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</si>
  <si>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</si>
  <si>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</si>
  <si>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</si>
  <si>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</si>
  <si>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</si>
  <si>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</si>
  <si>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</si>
  <si>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</si>
  <si>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</si>
  <si>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</si>
  <si>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</si>
  <si>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</si>
  <si>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</si>
  <si>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</si>
  <si>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</si>
  <si>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</si>
  <si>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</si>
  <si>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</si>
  <si>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</si>
  <si>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</si>
  <si>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</si>
  <si>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</si>
  <si>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</si>
  <si>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</si>
  <si>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</si>
  <si>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</si>
  <si>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</si>
  <si>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</si>
  <si>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</si>
  <si>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</si>
  <si>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</si>
  <si>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</si>
  <si>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</si>
  <si>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</si>
  <si>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</si>
  <si>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</si>
  <si>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</si>
  <si>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</si>
  <si>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</si>
  <si>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</si>
  <si>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</si>
  <si>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</si>
  <si>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</si>
  <si>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</si>
  <si>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</si>
  <si>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</si>
  <si>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</si>
  <si>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</si>
  <si>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</si>
  <si>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</si>
  <si>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</si>
  <si>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</si>
  <si>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</si>
  <si>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</si>
  <si>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</si>
  <si>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</si>
  <si>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</si>
  <si>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</si>
  <si>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</si>
  <si>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</si>
  <si>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</si>
  <si>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</si>
  <si>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</si>
  <si>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</si>
  <si>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</si>
  <si>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</si>
  <si>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</si>
  <si>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</si>
  <si>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</si>
  <si>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</si>
  <si>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</si>
  <si>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</si>
  <si>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</si>
  <si>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</si>
  <si>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</si>
  <si>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</si>
  <si>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</si>
  <si>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</si>
  <si>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</si>
  <si>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</si>
  <si>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</si>
  <si>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</si>
  <si>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</si>
  <si>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</si>
  <si>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</si>
  <si>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</si>
  <si>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</si>
  <si>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</si>
  <si>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</si>
  <si>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</si>
  <si>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</si>
  <si>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</si>
  <si>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</si>
  <si>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</si>
  <si>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</si>
  <si>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</si>
  <si>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</si>
  <si>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</si>
  <si>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</si>
  <si>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</si>
  <si>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</si>
  <si>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</si>
  <si>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</si>
  <si>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</si>
  <si>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</si>
  <si>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</si>
  <si>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</si>
  <si>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</si>
  <si>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</si>
  <si>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</si>
  <si>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</si>
  <si>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</si>
  <si>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</si>
  <si>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</si>
  <si>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</si>
  <si>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</si>
  <si>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</si>
  <si>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</si>
  <si>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</si>
  <si>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</si>
  <si>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</si>
  <si>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</si>
  <si>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</si>
  <si>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</si>
  <si>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</si>
  <si>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</si>
  <si>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</si>
  <si>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</si>
  <si>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</si>
  <si>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</si>
  <si>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</si>
  <si>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</si>
  <si>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</si>
  <si>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</si>
  <si>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</si>
  <si>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</si>
  <si>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</si>
  <si>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</si>
  <si>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</si>
  <si>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</si>
  <si>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</si>
  <si>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</si>
  <si>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</si>
  <si>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</si>
  <si>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</si>
  <si>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</si>
  <si>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</si>
  <si>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</si>
  <si>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</si>
  <si>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</si>
  <si>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</si>
  <si>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</si>
  <si>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</si>
  <si>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</si>
  <si>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</si>
  <si>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</si>
  <si>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</si>
  <si>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</si>
  <si>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</si>
  <si>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</si>
  <si>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</si>
  <si>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</si>
  <si>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</si>
  <si>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</si>
  <si>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</si>
  <si>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</si>
  <si>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</si>
  <si>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</si>
  <si>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</si>
  <si>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</si>
  <si>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</si>
  <si>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</si>
  <si>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</si>
  <si>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</si>
  <si>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</si>
  <si>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</si>
  <si>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</si>
  <si>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</si>
  <si>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</si>
  <si>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</si>
  <si>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</si>
  <si>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</si>
  <si>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</si>
  <si>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</si>
  <si>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</si>
  <si>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</si>
  <si>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</si>
  <si>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</si>
  <si>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</si>
  <si>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</si>
  <si>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</si>
  <si>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</si>
  <si>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</si>
  <si>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</si>
  <si>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</si>
  <si>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</si>
  <si>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</si>
  <si>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</si>
  <si>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</si>
  <si>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</si>
  <si>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</si>
  <si>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</si>
  <si>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</si>
  <si>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</si>
  <si>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</si>
  <si>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</si>
  <si>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</si>
  <si>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</si>
  <si>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</si>
  <si>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</si>
  <si>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</si>
  <si>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</si>
  <si>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</si>
  <si>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</si>
  <si>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</si>
  <si>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</si>
  <si>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</si>
  <si>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</si>
  <si>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</si>
  <si>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</si>
  <si>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</si>
  <si>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</si>
  <si>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</si>
  <si>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</si>
  <si>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</si>
  <si>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</si>
  <si>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</si>
  <si>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</si>
  <si>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</si>
  <si>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</si>
  <si>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</si>
  <si>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</si>
  <si>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</si>
  <si>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</si>
  <si>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</si>
  <si>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</si>
  <si>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</si>
  <si>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</si>
  <si>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</si>
  <si>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</si>
  <si>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</si>
  <si>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</si>
  <si>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</si>
  <si>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</si>
  <si>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</si>
  <si>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</si>
  <si>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</si>
  <si>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</si>
  <si>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</si>
  <si>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</si>
  <si>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</si>
  <si>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</si>
  <si>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</si>
  <si>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</si>
  <si>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</si>
  <si>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</si>
  <si>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</si>
  <si>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</si>
  <si>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</si>
  <si>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</si>
  <si>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</si>
  <si>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</si>
  <si>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</si>
  <si>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</si>
  <si>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</si>
  <si>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</si>
  <si>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</si>
  <si>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</si>
  <si>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</si>
  <si>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</si>
  <si>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</si>
  <si>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</si>
  <si>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</si>
  <si>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</si>
  <si>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</si>
  <si>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</si>
  <si>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</si>
  <si>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</si>
  <si>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</si>
  <si>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</si>
  <si>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</si>
  <si>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</si>
  <si>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</si>
  <si>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</si>
  <si>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</si>
  <si>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</si>
  <si>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</si>
  <si>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</si>
  <si>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</si>
  <si>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</si>
  <si>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</si>
  <si>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</si>
  <si>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</si>
  <si>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</si>
  <si>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</si>
  <si>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</si>
  <si>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</si>
  <si>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</si>
  <si>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</si>
  <si>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</si>
  <si>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</si>
  <si>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</si>
  <si>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</si>
  <si>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</si>
  <si>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</si>
  <si>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</si>
  <si>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</si>
  <si>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</si>
  <si>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</si>
  <si>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</si>
  <si>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</si>
  <si>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</si>
  <si>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</si>
  <si>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</si>
  <si>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</si>
  <si>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</si>
  <si>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</si>
  <si>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</si>
  <si>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</si>
  <si>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</si>
  <si>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</si>
  <si>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</si>
  <si>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</si>
  <si>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</si>
  <si>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</si>
  <si>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</si>
  <si>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</si>
  <si>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</si>
  <si>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</si>
  <si>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</si>
  <si>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</si>
  <si>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</si>
  <si>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</si>
  <si>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</si>
  <si>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</si>
  <si>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</si>
  <si>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</si>
  <si>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</si>
  <si>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</si>
  <si>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</si>
  <si>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</si>
  <si>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</si>
  <si>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</si>
  <si>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</si>
  <si>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</si>
  <si>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</si>
  <si>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</si>
  <si>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</si>
  <si>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</si>
  <si>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</si>
  <si>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</si>
  <si>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</si>
  <si>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</si>
  <si>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</si>
  <si>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</si>
  <si>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</si>
  <si>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</si>
  <si>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</si>
  <si>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</si>
  <si>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</si>
  <si>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</si>
  <si>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</si>
  <si>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</si>
  <si>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</si>
  <si>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</si>
  <si>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</si>
  <si>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</si>
  <si>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</si>
  <si>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</si>
  <si>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</si>
  <si>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</si>
  <si>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</si>
  <si>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</si>
  <si>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</si>
  <si>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</si>
  <si>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</si>
  <si>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</si>
  <si>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</si>
  <si>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</si>
  <si>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</si>
  <si>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</si>
  <si>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</si>
  <si>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</si>
  <si>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</si>
  <si>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</si>
  <si>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</si>
  <si>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</si>
  <si>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</si>
  <si>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</si>
  <si>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</si>
  <si>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</si>
  <si>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</si>
  <si>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</si>
  <si>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</si>
  <si>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</si>
  <si>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</si>
  <si>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</si>
  <si>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</si>
  <si>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</si>
  <si>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</si>
  <si>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</si>
  <si>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</si>
  <si>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</si>
  <si>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</si>
  <si>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</si>
  <si>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</si>
  <si>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</si>
  <si>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</si>
  <si>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</si>
  <si>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</si>
  <si>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</si>
  <si>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</si>
  <si>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</si>
  <si>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</si>
  <si>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</si>
  <si>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</si>
  <si>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</si>
  <si>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</si>
  <si>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</si>
  <si>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</si>
  <si>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</si>
  <si>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</si>
  <si>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</si>
  <si>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</si>
  <si>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</si>
  <si>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</si>
  <si>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</si>
  <si>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</si>
  <si>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</si>
  <si>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</si>
  <si>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</si>
  <si>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</si>
  <si>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</si>
  <si>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</si>
  <si>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</si>
  <si>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</si>
  <si>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</si>
  <si>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</si>
  <si>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</si>
  <si>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</si>
  <si>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</si>
  <si>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</si>
  <si>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</si>
  <si>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</si>
  <si>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</si>
  <si>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</si>
  <si>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</si>
  <si>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</si>
  <si>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</si>
  <si>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</si>
  <si>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</si>
  <si>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</si>
  <si>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</si>
  <si>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</si>
  <si>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</si>
  <si>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</si>
  <si>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</si>
  <si>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</si>
  <si>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</si>
  <si>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</si>
  <si>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</si>
  <si>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</si>
  <si>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</si>
  <si>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</si>
  <si>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</si>
  <si>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</si>
  <si>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</si>
  <si>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</si>
  <si>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</si>
  <si>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</si>
  <si>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</si>
  <si>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</si>
  <si>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</si>
  <si>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</si>
  <si>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</si>
  <si>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</si>
  <si>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</si>
  <si>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</si>
  <si>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</si>
  <si>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</si>
  <si>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</si>
  <si>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</si>
  <si>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</si>
  <si>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</si>
  <si>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</si>
  <si>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</si>
  <si>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</si>
  <si>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</si>
  <si>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</si>
  <si>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</si>
  <si>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</si>
  <si>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</si>
  <si>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</si>
  <si>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</si>
  <si>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</si>
  <si>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</si>
  <si>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</si>
  <si>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</si>
  <si>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</si>
  <si>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</si>
  <si>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</si>
  <si>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</si>
  <si>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</si>
  <si>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</si>
  <si>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</si>
  <si>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</si>
  <si>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</si>
  <si>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</si>
  <si>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</si>
  <si>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</si>
  <si>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</si>
  <si>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</si>
  <si>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</si>
  <si>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</si>
  <si>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</si>
  <si>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</si>
  <si>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</si>
  <si>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</si>
  <si>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</si>
  <si>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</si>
  <si>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</si>
  <si>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</si>
  <si>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</si>
  <si>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</si>
  <si>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</si>
  <si>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</si>
  <si>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</si>
  <si>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</si>
  <si>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</si>
  <si>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</si>
  <si>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</si>
  <si>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</si>
  <si>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</si>
  <si>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</si>
  <si>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</si>
  <si>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</si>
  <si>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</si>
  <si>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</si>
  <si>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</si>
  <si>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</si>
  <si>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</si>
  <si>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</si>
  <si>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</si>
  <si>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</si>
  <si>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</si>
  <si>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</si>
  <si>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</si>
  <si>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</si>
  <si>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</si>
  <si>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</si>
  <si>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</si>
  <si>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</si>
  <si>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</si>
  <si>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</si>
  <si>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</si>
  <si>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</si>
  <si>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</si>
  <si>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</si>
  <si>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</si>
  <si>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</si>
  <si>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</si>
  <si>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</si>
  <si>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</si>
  <si>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</si>
  <si>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</si>
  <si>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</si>
  <si>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</si>
  <si>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</si>
  <si>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</si>
  <si>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</si>
  <si>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</si>
  <si>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</si>
  <si>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</si>
  <si>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</si>
  <si>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</si>
  <si>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</si>
  <si>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</si>
  <si>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</si>
  <si>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</si>
  <si>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</si>
  <si>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</si>
  <si>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</si>
  <si>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</si>
  <si>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</si>
  <si>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</si>
  <si>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</si>
  <si>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</si>
  <si>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</si>
  <si>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</si>
  <si>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</si>
  <si>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</si>
  <si>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</si>
  <si>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</si>
  <si>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</si>
  <si>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</si>
  <si>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</si>
  <si>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</si>
  <si>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</si>
  <si>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</si>
  <si>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</si>
  <si>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</si>
  <si>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</si>
  <si>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</si>
  <si>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</si>
  <si>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</si>
  <si>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</si>
  <si>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</si>
  <si>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</si>
  <si>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</si>
  <si>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</si>
  <si>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</si>
  <si>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</si>
  <si>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</si>
  <si>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</si>
  <si>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</si>
  <si>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</si>
  <si>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</si>
  <si>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</si>
  <si>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</si>
  <si>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</si>
  <si>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</si>
  <si>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</si>
  <si>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</si>
  <si>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</si>
  <si>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</si>
  <si>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</si>
  <si>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</si>
  <si>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</si>
  <si>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</si>
  <si>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</si>
  <si>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</si>
  <si>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</si>
  <si>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</si>
  <si>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</si>
  <si>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</si>
  <si>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</si>
  <si>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</si>
  <si>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</si>
  <si>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</si>
  <si>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</si>
  <si>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</si>
  <si>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</si>
  <si>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</si>
  <si>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</si>
  <si>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</si>
  <si>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</si>
  <si>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</si>
  <si>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</si>
  <si>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</si>
  <si>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</si>
  <si>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</si>
  <si>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</si>
  <si>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</si>
  <si>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</si>
  <si>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</si>
  <si>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</si>
  <si>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</si>
  <si>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</si>
  <si>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</si>
  <si>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</si>
  <si>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</si>
  <si>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</si>
  <si>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</si>
  <si>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</si>
  <si>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</si>
  <si>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</si>
  <si>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</si>
  <si>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</si>
  <si>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</si>
  <si>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</si>
  <si>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</si>
  <si>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</si>
  <si>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</si>
  <si>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</si>
  <si>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</si>
  <si>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</si>
  <si>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</si>
  <si>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</si>
  <si>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</si>
  <si>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</si>
  <si>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</si>
  <si>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</si>
  <si>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</si>
  <si>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</si>
  <si>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</si>
  <si>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</si>
  <si>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</si>
  <si>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</si>
  <si>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</si>
  <si>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</si>
  <si>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</si>
  <si>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</si>
  <si>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</si>
  <si>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</si>
  <si>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</si>
  <si>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</si>
  <si>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</si>
  <si>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</si>
  <si>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</si>
  <si>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</si>
  <si>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</si>
  <si>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</si>
  <si>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</si>
  <si>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</si>
  <si>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</si>
  <si>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</si>
  <si>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</si>
  <si>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</si>
  <si>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</si>
  <si>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</si>
  <si>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</si>
  <si>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</si>
  <si>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</si>
  <si>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</si>
  <si>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</si>
  <si>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</si>
  <si>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</si>
  <si>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</si>
  <si>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</si>
  <si>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</si>
  <si>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</si>
  <si>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</si>
  <si>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</si>
  <si>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</si>
  <si>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</si>
  <si>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</si>
  <si>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</si>
  <si>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</si>
  <si>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</si>
  <si>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</si>
  <si>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</si>
  <si>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</si>
  <si>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</si>
  <si>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</si>
  <si>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</si>
  <si>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</si>
  <si>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</si>
  <si>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</si>
  <si>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</si>
  <si>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</si>
  <si>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</si>
  <si>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</si>
  <si>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</si>
  <si>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</si>
  <si>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</si>
  <si>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</si>
  <si>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</si>
  <si>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</si>
  <si>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</si>
  <si>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</si>
  <si>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</si>
  <si>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</si>
  <si>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</si>
  <si>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</si>
  <si>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</si>
  <si>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</si>
  <si>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</si>
  <si>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</si>
  <si>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</si>
  <si>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</si>
  <si>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</si>
  <si>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</si>
  <si>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</si>
  <si>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</si>
  <si>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</si>
  <si>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</si>
  <si>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</si>
  <si>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</si>
  <si>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</si>
  <si>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</si>
  <si>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</si>
  <si>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</si>
  <si>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</si>
  <si>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</si>
  <si>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</si>
  <si>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</si>
  <si>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</si>
  <si>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</si>
  <si>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</si>
  <si>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</si>
  <si>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</si>
  <si>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</si>
  <si>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</si>
  <si>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</si>
  <si>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</si>
  <si>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</si>
  <si>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</si>
  <si>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</si>
  <si>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</si>
  <si>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</si>
  <si>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</si>
  <si>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</si>
  <si>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</si>
  <si>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</si>
  <si>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</si>
  <si>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</si>
  <si>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</si>
  <si>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</si>
  <si>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</si>
  <si>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</si>
  <si>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</si>
  <si>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</si>
  <si>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</si>
  <si>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</si>
  <si>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</si>
  <si>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</si>
  <si>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</si>
  <si>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</si>
  <si>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</si>
  <si>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</si>
  <si>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</si>
  <si>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</si>
  <si>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</si>
  <si>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</si>
  <si>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</si>
  <si>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</si>
  <si>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</si>
  <si>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</si>
  <si>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</si>
  <si>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</si>
  <si>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</si>
  <si>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</si>
  <si>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</si>
  <si>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</si>
  <si>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</si>
  <si>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</si>
  <si>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</si>
  <si>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</si>
  <si>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</si>
  <si>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</si>
  <si>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</si>
  <si>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</si>
  <si>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</si>
  <si>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</si>
  <si>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</si>
  <si>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</si>
  <si>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</si>
  <si>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</si>
  <si>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</si>
  <si>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</si>
  <si>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</si>
  <si>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</si>
  <si>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</si>
  <si>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</si>
  <si>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</si>
  <si>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</si>
  <si>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</si>
  <si>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</si>
  <si>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</si>
  <si>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</si>
  <si>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</si>
  <si>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</si>
  <si>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</si>
  <si>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</si>
  <si>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</si>
  <si>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</si>
  <si>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</si>
  <si>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</si>
  <si>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</si>
  <si>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</si>
  <si>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</si>
  <si>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</si>
  <si>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</si>
  <si>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</si>
  <si>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</si>
  <si>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</si>
  <si>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</si>
  <si>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</si>
  <si>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</si>
  <si>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</si>
  <si>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</si>
  <si>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</si>
  <si>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</si>
  <si>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</si>
  <si>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</si>
  <si>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</si>
  <si>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</si>
  <si>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</si>
  <si>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</si>
  <si>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</si>
  <si>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</si>
  <si>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</si>
  <si>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</si>
  <si>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</si>
  <si>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</si>
  <si>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</si>
  <si>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</si>
  <si>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</si>
  <si>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</si>
  <si>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</si>
  <si>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</si>
  <si>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</si>
  <si>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</si>
  <si>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</si>
  <si>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</si>
  <si>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</si>
  <si>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</si>
  <si>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</si>
  <si>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</si>
  <si>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</si>
  <si>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</si>
  <si>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</si>
  <si>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</si>
  <si>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</si>
  <si>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</si>
  <si>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</si>
  <si>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</si>
  <si>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</si>
  <si>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</si>
  <si>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</si>
  <si>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</si>
  <si>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</si>
  <si>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</si>
  <si>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</si>
  <si>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</si>
  <si>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</si>
  <si>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</si>
  <si>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</si>
  <si>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</si>
  <si>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</si>
  <si>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</si>
  <si>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</si>
  <si>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</si>
  <si>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</si>
  <si>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</si>
  <si>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</si>
  <si>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</si>
  <si>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</si>
  <si>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</si>
  <si>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</si>
  <si>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</si>
  <si>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</si>
  <si>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</si>
  <si>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</si>
  <si>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</si>
  <si>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</si>
  <si>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</si>
  <si>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</si>
  <si>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</si>
  <si>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</si>
  <si>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</si>
  <si>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</si>
  <si>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</si>
  <si>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</si>
  <si>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</si>
  <si>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</si>
  <si>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</si>
  <si>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</si>
  <si>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</si>
  <si>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</si>
  <si>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</si>
  <si>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</si>
  <si>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</si>
  <si>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</si>
  <si>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</si>
  <si>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</si>
  <si>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</si>
  <si>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</si>
  <si>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</si>
  <si>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</si>
  <si>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</si>
  <si>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</si>
  <si>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</si>
  <si>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</si>
  <si>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</si>
  <si>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</si>
  <si>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</si>
  <si>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</si>
  <si>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</si>
  <si>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</si>
  <si>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</si>
  <si>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</si>
  <si>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</si>
  <si>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</si>
  <si>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</si>
  <si>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</si>
  <si>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</si>
  <si>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</si>
  <si>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</si>
  <si>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</si>
  <si>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</si>
  <si>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</si>
  <si>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</si>
  <si>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</si>
  <si>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</si>
  <si>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</si>
  <si>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</si>
  <si>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</si>
  <si>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</si>
  <si>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</si>
  <si>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</si>
  <si>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</si>
  <si>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</si>
  <si>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</si>
  <si>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</si>
  <si>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</si>
  <si>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</si>
  <si>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</si>
  <si>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</si>
  <si>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</si>
  <si>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</si>
  <si>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</si>
  <si>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</si>
  <si>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</si>
  <si>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</si>
  <si>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</si>
  <si>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</si>
  <si>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</si>
  <si>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</si>
  <si>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</si>
  <si>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</si>
  <si>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</si>
  <si>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</si>
  <si>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</si>
  <si>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</si>
  <si>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</si>
  <si>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</si>
  <si>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</si>
  <si>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</si>
  <si>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</si>
  <si>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</si>
  <si>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</si>
  <si>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</si>
  <si>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</si>
  <si>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</si>
  <si>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</si>
  <si>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</si>
  <si>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</si>
  <si>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</si>
  <si>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</si>
  <si>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</si>
  <si>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</si>
  <si>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</si>
  <si>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</si>
  <si>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</si>
  <si>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</si>
  <si>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</si>
  <si>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</si>
  <si>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</si>
  <si>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</si>
  <si>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</si>
  <si>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</si>
  <si>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</si>
  <si>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</si>
  <si>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</si>
  <si>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</si>
  <si>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</si>
  <si>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</si>
  <si>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</si>
  <si>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</si>
  <si>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</si>
  <si>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</si>
  <si>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</si>
  <si>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</si>
  <si>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</si>
  <si>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</si>
  <si>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</si>
  <si>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</si>
  <si>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</si>
  <si>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</si>
  <si>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</si>
  <si>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</si>
  <si>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</si>
  <si>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</si>
  <si>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</si>
  <si>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</si>
  <si>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</si>
  <si>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</si>
  <si>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</si>
  <si>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</si>
  <si>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</si>
  <si>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</si>
  <si>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</si>
  <si>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</si>
  <si>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</si>
  <si>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</si>
  <si>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</si>
  <si>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</si>
  <si>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</si>
  <si>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</si>
  <si>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</si>
  <si>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</si>
  <si>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</si>
  <si>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</si>
  <si>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</si>
  <si>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</si>
  <si>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</si>
  <si>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</si>
  <si>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</si>
  <si>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</si>
  <si>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</si>
  <si>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</si>
  <si>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</si>
  <si>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</si>
  <si>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</si>
  <si>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</si>
  <si>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</si>
  <si>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</si>
  <si>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</si>
  <si>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</si>
  <si>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</si>
  <si>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</si>
  <si>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</si>
  <si>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</si>
  <si>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</si>
  <si>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</si>
  <si>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</si>
  <si>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</si>
  <si>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</si>
  <si>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</si>
  <si>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</si>
  <si>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</si>
  <si>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</si>
  <si>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</si>
  <si>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</si>
  <si>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</si>
  <si>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</si>
  <si>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</si>
  <si>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</si>
  <si>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</si>
  <si>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</si>
  <si>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</si>
  <si>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</si>
  <si>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</si>
  <si>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</si>
  <si>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</si>
  <si>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</si>
  <si>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</si>
  <si>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</si>
  <si>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</si>
  <si>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</si>
  <si>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</si>
  <si>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</si>
  <si>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</si>
  <si>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</si>
  <si>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</si>
  <si>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</si>
  <si>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</si>
  <si>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</si>
  <si>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</si>
  <si>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</si>
  <si>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</si>
  <si>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</si>
  <si>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</si>
  <si>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</si>
  <si>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</si>
  <si>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</si>
  <si>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</si>
  <si>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</si>
  <si>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</si>
  <si>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</si>
  <si>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</si>
  <si>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</si>
  <si>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</si>
  <si>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</si>
  <si>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</si>
  <si>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</si>
  <si>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</si>
  <si>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</si>
  <si>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</si>
  <si>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</si>
  <si>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</si>
  <si>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</si>
  <si>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</si>
  <si>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</si>
  <si>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</si>
  <si>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</si>
  <si>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</si>
  <si>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</si>
  <si>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</si>
  <si>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</si>
  <si>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</si>
  <si>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</si>
  <si>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</si>
  <si>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</si>
  <si>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</si>
  <si>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</si>
  <si>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</si>
  <si>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</si>
  <si>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</si>
  <si>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</si>
  <si>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</si>
  <si>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</si>
  <si>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</si>
  <si>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</si>
  <si>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</si>
  <si>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</si>
  <si>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</si>
  <si>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</si>
  <si>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</si>
  <si>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</si>
  <si>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</si>
  <si>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</si>
  <si>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</si>
  <si>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</si>
  <si>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</si>
  <si>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</si>
  <si>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</si>
  <si>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</si>
  <si>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</si>
  <si>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</si>
  <si>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</si>
  <si>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</si>
  <si>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</si>
  <si>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</si>
  <si>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</si>
  <si>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</si>
  <si>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</si>
  <si>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</si>
  <si>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</si>
  <si>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</si>
  <si>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</si>
  <si>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</si>
  <si>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</si>
  <si>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</si>
  <si>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</si>
  <si>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</si>
  <si>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</si>
  <si>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</si>
  <si>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</si>
  <si>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</si>
  <si>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</si>
  <si>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</si>
  <si>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</si>
  <si>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</si>
  <si>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</si>
  <si>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</si>
  <si>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</si>
  <si>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</si>
  <si>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</si>
  <si>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</si>
  <si>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</si>
  <si>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</si>
  <si>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</si>
  <si>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</si>
  <si>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</si>
  <si>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</si>
  <si>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</si>
  <si>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</si>
  <si>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</si>
  <si>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</si>
  <si>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</si>
  <si>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</si>
  <si>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</si>
  <si>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</si>
  <si>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</si>
  <si>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</si>
  <si>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</si>
  <si>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</si>
  <si>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</si>
  <si>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</si>
  <si>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</si>
  <si>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</si>
  <si>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</si>
  <si>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</si>
  <si>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</si>
  <si>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</si>
  <si>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</si>
  <si>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</si>
  <si>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</si>
  <si>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</si>
  <si>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</si>
  <si>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</si>
  <si>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</si>
  <si>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</si>
  <si>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</si>
  <si>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</si>
  <si>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</si>
  <si>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</si>
  <si>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</si>
  <si>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</si>
  <si>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</si>
  <si>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</si>
  <si>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</si>
  <si>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</si>
  <si>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</si>
  <si>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</si>
  <si>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</si>
  <si>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</si>
  <si>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</si>
  <si>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</si>
  <si>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</si>
  <si>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</si>
  <si>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</si>
  <si>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</si>
  <si>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</si>
  <si>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</si>
  <si>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</si>
  <si>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</si>
  <si>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</si>
  <si>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</si>
  <si>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</si>
  <si>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</si>
  <si>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</si>
  <si>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</si>
  <si>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</si>
  <si>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</si>
  <si>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</si>
  <si>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</si>
  <si>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</si>
  <si>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</si>
  <si>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</si>
  <si>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</si>
  <si>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</si>
  <si>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</si>
  <si>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</si>
  <si>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</si>
  <si>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</si>
  <si>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</si>
  <si>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</si>
  <si>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</si>
  <si>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</si>
  <si>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</si>
  <si>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</si>
  <si>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</si>
  <si>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</si>
  <si>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</si>
  <si>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</si>
  <si>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</si>
  <si>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</si>
  <si>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</si>
  <si>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</si>
  <si>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</si>
  <si>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</si>
  <si>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</si>
  <si>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</si>
  <si>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</si>
  <si>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</si>
  <si>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</si>
  <si>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</si>
  <si>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</si>
  <si>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</si>
  <si>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</si>
  <si>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</si>
  <si>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</si>
  <si>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</si>
  <si>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</si>
  <si>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</si>
  <si>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</si>
  <si>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</si>
  <si>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</si>
  <si>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</si>
  <si>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</si>
  <si>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</si>
  <si>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</si>
  <si>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</si>
  <si>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</si>
  <si>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</si>
  <si>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</si>
  <si>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</si>
  <si>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</si>
  <si>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</si>
  <si>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</si>
  <si>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</si>
  <si>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</si>
  <si>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</si>
  <si>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</si>
  <si>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</si>
  <si>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</si>
  <si>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</si>
  <si>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</si>
  <si>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</si>
  <si>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</si>
  <si>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</si>
  <si>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</si>
  <si>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</si>
  <si>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</si>
  <si>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</si>
  <si>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</si>
  <si>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</si>
  <si>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</si>
  <si>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</si>
  <si>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</si>
  <si>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</si>
  <si>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</si>
  <si>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</si>
  <si>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</si>
  <si>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</si>
  <si>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</si>
  <si>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</si>
  <si>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</si>
  <si>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</si>
  <si>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</si>
  <si>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</si>
  <si>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</si>
  <si>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</si>
  <si>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</si>
  <si>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</si>
  <si>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</si>
  <si>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</si>
  <si>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</si>
  <si>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</si>
  <si>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</si>
  <si>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</si>
  <si>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</si>
  <si>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</si>
  <si>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</si>
  <si>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</si>
  <si>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</si>
  <si>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</si>
  <si>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</si>
  <si>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</si>
  <si>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</si>
  <si>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</si>
  <si>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</si>
  <si>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</si>
  <si>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</si>
  <si>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</si>
  <si>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</si>
  <si>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</si>
  <si>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</si>
  <si>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</si>
  <si>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</si>
  <si>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</si>
  <si>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</si>
  <si>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</si>
  <si>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</si>
  <si>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</si>
  <si>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</si>
  <si>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</si>
  <si>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</si>
  <si>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</si>
  <si>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</si>
  <si>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</si>
  <si>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</si>
  <si>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</si>
  <si>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</si>
  <si>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</si>
  <si>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</si>
  <si>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</si>
  <si>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</si>
  <si>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</si>
  <si>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</si>
  <si>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</si>
  <si>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</si>
  <si>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</si>
  <si>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</si>
  <si>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</si>
  <si>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</si>
  <si>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</si>
  <si>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</si>
  <si>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</si>
  <si>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</si>
  <si>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</si>
  <si>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</si>
  <si>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</si>
  <si>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</si>
  <si>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</si>
  <si>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</si>
  <si>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</si>
  <si>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</si>
  <si>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</si>
  <si>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</si>
  <si>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</si>
  <si>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</si>
  <si>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</si>
  <si>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</si>
  <si>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</si>
  <si>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</si>
  <si>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</si>
  <si>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</si>
  <si>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</si>
  <si>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</si>
  <si>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</si>
  <si>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</si>
  <si>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</si>
  <si>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</si>
  <si>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</si>
  <si>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</si>
  <si>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</si>
  <si>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</si>
  <si>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</si>
  <si>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</si>
  <si>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</si>
  <si>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</si>
  <si>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</si>
  <si>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</si>
  <si>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</si>
  <si>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</si>
  <si>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</si>
  <si>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</si>
  <si>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</si>
  <si>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</si>
  <si>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</si>
  <si>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</si>
  <si>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</si>
  <si>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</si>
  <si>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</si>
  <si>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</si>
  <si>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</si>
  <si>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</si>
  <si>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</si>
  <si>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</si>
  <si>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</si>
  <si>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</si>
  <si>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</si>
  <si>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</si>
  <si>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</si>
  <si>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</si>
  <si>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</si>
  <si>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</si>
  <si>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</si>
  <si>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</si>
  <si>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</si>
  <si>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</si>
  <si>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</si>
  <si>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</si>
  <si>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</si>
  <si>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</si>
  <si>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</si>
  <si>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</si>
  <si>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</si>
  <si>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</si>
  <si>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</si>
  <si>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</si>
  <si>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</si>
  <si>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</si>
  <si>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</si>
  <si>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</si>
  <si>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</si>
  <si>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</si>
  <si>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</si>
  <si>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</si>
  <si>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</si>
  <si>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</si>
  <si>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</si>
  <si>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</si>
  <si>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</si>
  <si>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</si>
  <si>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</si>
  <si>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</si>
  <si>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</si>
  <si>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</si>
  <si>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</si>
  <si>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</si>
  <si>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</si>
  <si>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</si>
  <si>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</si>
  <si>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</si>
  <si>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</si>
  <si>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</si>
  <si>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</si>
  <si>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</si>
  <si>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</si>
  <si>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</si>
  <si>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</si>
  <si>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</si>
  <si>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</si>
  <si>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</si>
  <si>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</si>
  <si>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</si>
  <si>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</si>
  <si>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</si>
  <si>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</si>
  <si>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</si>
  <si>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</si>
  <si>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</si>
  <si>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</si>
  <si>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</si>
  <si>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</si>
  <si>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</si>
  <si>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</si>
  <si>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</si>
  <si>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</si>
  <si>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</si>
  <si>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</si>
  <si>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</si>
  <si>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</si>
  <si>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</si>
  <si>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</si>
  <si>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</si>
  <si>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</si>
  <si>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</si>
  <si>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</si>
  <si>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</si>
  <si>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</si>
  <si>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</si>
  <si>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</si>
  <si>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</si>
  <si>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</si>
  <si>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</si>
  <si>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</si>
  <si>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</si>
  <si>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</si>
  <si>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</si>
  <si>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</si>
  <si>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</si>
  <si>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</si>
  <si>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</si>
  <si>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</si>
  <si>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</si>
  <si>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</si>
  <si>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</si>
  <si>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</si>
  <si>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</si>
  <si>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</si>
  <si>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</si>
  <si>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</si>
  <si>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</si>
  <si>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</si>
  <si>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</si>
  <si>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</si>
  <si>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</si>
  <si>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</si>
  <si>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</si>
  <si>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</si>
  <si>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</si>
  <si>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</si>
  <si>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</si>
  <si>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</si>
  <si>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</si>
  <si>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</si>
  <si>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</si>
  <si>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</si>
  <si>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</si>
  <si>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</si>
  <si>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</si>
  <si>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</si>
  <si>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</si>
  <si>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</si>
  <si>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</si>
  <si>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</si>
  <si>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</si>
  <si>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</si>
  <si>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</si>
  <si>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</si>
  <si>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</si>
  <si>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</si>
  <si>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</si>
  <si>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</si>
  <si>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</si>
  <si>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</si>
  <si>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</si>
  <si>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</si>
  <si>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</si>
  <si>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</si>
  <si>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</si>
  <si>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</si>
  <si>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</si>
  <si>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</si>
  <si>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</si>
  <si>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</si>
  <si>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</si>
  <si>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</si>
  <si>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</si>
  <si>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</si>
  <si>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</si>
  <si>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</si>
  <si>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</si>
  <si>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</si>
  <si>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</si>
  <si>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</si>
  <si>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</si>
  <si>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</si>
  <si>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</si>
  <si>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</si>
  <si>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</si>
  <si>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</si>
  <si>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</si>
  <si>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</si>
  <si>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</si>
  <si>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</si>
  <si>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</si>
  <si>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</si>
  <si>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</si>
  <si>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</si>
  <si>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</si>
  <si>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</si>
  <si>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</si>
  <si>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</si>
  <si>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</si>
  <si>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</si>
  <si>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</si>
  <si>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</si>
  <si>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</si>
  <si>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</si>
  <si>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</si>
  <si>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</si>
  <si>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</si>
  <si>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</si>
  <si>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</si>
  <si>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</si>
  <si>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</si>
  <si>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</si>
  <si>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</si>
  <si>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</si>
  <si>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</si>
  <si>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</si>
  <si>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</si>
  <si>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</si>
  <si>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</si>
  <si>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</si>
  <si>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</si>
  <si>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</si>
  <si>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</si>
  <si>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</si>
  <si>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</si>
  <si>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</si>
  <si>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</si>
  <si>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</si>
  <si>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</si>
  <si>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</si>
  <si>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</si>
  <si>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</si>
  <si>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</si>
  <si>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</si>
  <si>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</si>
  <si>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</si>
  <si>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</si>
  <si>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</si>
  <si>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</si>
  <si>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</si>
  <si>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</si>
  <si>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</si>
  <si>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</si>
  <si>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</si>
  <si>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</si>
  <si>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</si>
  <si>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</si>
  <si>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</si>
  <si>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</si>
  <si>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</si>
  <si>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</si>
  <si>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</si>
  <si>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</si>
  <si>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</si>
  <si>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</si>
  <si>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</si>
  <si>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</si>
  <si>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</si>
  <si>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</si>
  <si>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</si>
  <si>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</si>
  <si>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</si>
  <si>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</si>
  <si>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</si>
  <si>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</si>
  <si>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</si>
  <si>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</si>
  <si>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</si>
  <si>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</si>
  <si>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</si>
  <si>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</si>
  <si>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</si>
  <si>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</si>
  <si>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</si>
  <si>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</si>
  <si>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</si>
  <si>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</si>
  <si>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</si>
  <si>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</si>
  <si>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</si>
  <si>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</si>
  <si>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</si>
  <si>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</si>
  <si>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</si>
  <si>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</si>
  <si>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</si>
  <si>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</si>
  <si>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</si>
  <si>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</si>
  <si>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</si>
  <si>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</si>
  <si>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</si>
  <si>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</si>
  <si>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</si>
  <si>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</si>
  <si>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</si>
  <si>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</si>
  <si>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</si>
  <si>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</si>
  <si>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</si>
  <si>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</si>
  <si>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</si>
  <si>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</si>
  <si>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</si>
  <si>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</si>
  <si>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</si>
  <si>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</si>
  <si>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</si>
  <si>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</si>
  <si>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</si>
  <si>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</si>
  <si>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</si>
  <si>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</si>
  <si>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</si>
  <si>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</si>
  <si>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</si>
  <si>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</si>
  <si>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</si>
  <si>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</si>
  <si>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</si>
  <si>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</si>
  <si>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</si>
  <si>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</si>
  <si>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</si>
  <si>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</si>
  <si>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</si>
  <si>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</si>
  <si>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</si>
  <si>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</si>
  <si>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</si>
  <si>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</si>
  <si>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</si>
  <si>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</si>
  <si>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</si>
  <si>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</si>
  <si>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</si>
  <si>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</si>
  <si>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</si>
  <si>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</si>
  <si>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</si>
  <si>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</si>
  <si>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</si>
  <si>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</si>
  <si>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</si>
  <si>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</si>
  <si>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</si>
  <si>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</si>
  <si>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</si>
  <si>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</si>
  <si>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</si>
  <si>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</si>
  <si>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</si>
  <si>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</si>
  <si>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</si>
  <si>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</si>
  <si>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</si>
  <si>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</si>
  <si>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</si>
  <si>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</si>
  <si>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</si>
  <si>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</si>
  <si>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</si>
  <si>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</si>
  <si>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</si>
  <si>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</si>
  <si>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</si>
  <si>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</si>
  <si>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</si>
  <si>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</si>
  <si>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</si>
  <si>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</si>
  <si>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</si>
  <si>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</si>
  <si>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</si>
  <si>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</si>
  <si>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</si>
  <si>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</si>
  <si>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</si>
  <si>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</si>
  <si>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</si>
  <si>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</si>
  <si>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</si>
  <si>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</si>
  <si>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</si>
  <si>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</si>
  <si>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</si>
  <si>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</si>
  <si>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</si>
  <si>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</si>
  <si>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</si>
  <si>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</si>
  <si>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</si>
  <si>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</si>
  <si>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</si>
  <si>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</si>
  <si>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</si>
  <si>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</si>
  <si>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</si>
  <si>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</si>
  <si>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</si>
  <si>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</si>
  <si>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</si>
  <si>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</si>
  <si>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</si>
  <si>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</si>
  <si>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</si>
  <si>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</si>
  <si>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</si>
  <si>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</si>
  <si>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</si>
  <si>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</si>
  <si>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</si>
  <si>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</si>
  <si>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</si>
  <si>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</si>
  <si>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</si>
  <si>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</si>
  <si>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</si>
  <si>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</si>
  <si>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</si>
  <si>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</si>
  <si>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</si>
  <si>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</si>
  <si>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</si>
  <si>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</si>
  <si>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</si>
  <si>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</si>
  <si>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</si>
  <si>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</si>
  <si>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</si>
  <si>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</si>
  <si>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</si>
  <si>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</si>
  <si>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</si>
  <si>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</si>
  <si>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</si>
  <si>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</si>
  <si>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</si>
  <si>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</si>
  <si>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</si>
  <si>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</si>
  <si>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</si>
  <si>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</si>
  <si>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</si>
  <si>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</si>
  <si>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</si>
  <si>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</si>
  <si>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</si>
  <si>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</si>
  <si>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</si>
  <si>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</si>
  <si>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</si>
  <si>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</si>
  <si>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</si>
  <si>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</si>
  <si>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</si>
  <si>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</si>
  <si>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</si>
  <si>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</si>
  <si>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</si>
  <si>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</si>
  <si>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</si>
  <si>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</si>
  <si>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</si>
  <si>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</si>
  <si>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</si>
  <si>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</si>
  <si>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</si>
  <si>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</si>
  <si>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</si>
  <si>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</si>
  <si>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</si>
  <si>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</si>
  <si>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</si>
  <si>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</si>
  <si>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</si>
  <si>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</si>
  <si>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</si>
  <si>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</si>
  <si>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</si>
  <si>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</si>
  <si>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</si>
  <si>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</si>
  <si>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</si>
  <si>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</si>
  <si>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</si>
  <si>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</si>
  <si>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</si>
  <si>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</si>
  <si>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</si>
  <si>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</si>
  <si>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</si>
  <si>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</si>
  <si>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</si>
  <si>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</si>
  <si>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</si>
  <si>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</si>
  <si>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</si>
  <si>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</si>
  <si>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</si>
  <si>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</si>
  <si>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</si>
  <si>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</si>
  <si>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</si>
  <si>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</si>
  <si>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</si>
  <si>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</si>
  <si>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</si>
  <si>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</si>
  <si>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</si>
  <si>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</si>
  <si>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</si>
  <si>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</si>
  <si>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</si>
  <si>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</si>
  <si>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</si>
  <si>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</si>
  <si>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</si>
  <si>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</si>
  <si>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</si>
  <si>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</si>
  <si>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</si>
  <si>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</si>
  <si>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</si>
  <si>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</si>
  <si>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</si>
  <si>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</si>
  <si>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</si>
  <si>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</si>
  <si>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</si>
  <si>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</si>
  <si>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</si>
  <si>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</si>
  <si>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</si>
  <si>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</si>
  <si>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</si>
  <si>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</si>
  <si>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</si>
  <si>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</si>
  <si>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</si>
  <si>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</si>
  <si>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</si>
  <si>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</si>
  <si>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</si>
  <si>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</si>
  <si>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</si>
  <si>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</si>
  <si>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</si>
  <si>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</si>
  <si>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</si>
  <si>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</si>
  <si>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</si>
  <si>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</si>
  <si>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</si>
  <si>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</si>
  <si>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</si>
  <si>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</si>
  <si>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</si>
  <si>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</si>
  <si>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</si>
  <si>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</si>
  <si>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</si>
  <si>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</si>
  <si>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</si>
  <si>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</si>
  <si>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</si>
  <si>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</si>
  <si>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</si>
  <si>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</si>
  <si>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</si>
  <si>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</si>
  <si>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</si>
  <si>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</si>
  <si>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</si>
  <si>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</si>
  <si>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</si>
  <si>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</si>
  <si>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</si>
  <si>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</si>
  <si>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</si>
  <si>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</si>
  <si>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</si>
  <si>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</si>
  <si>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</si>
  <si>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</si>
  <si>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</si>
  <si>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</si>
  <si>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</si>
  <si>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</si>
  <si>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</si>
  <si>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</si>
  <si>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</si>
  <si>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</si>
  <si>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</si>
  <si>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</si>
  <si>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</si>
  <si>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</si>
  <si>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</si>
  <si>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</si>
  <si>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</si>
  <si>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</si>
  <si>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</si>
  <si>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</si>
  <si>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</si>
  <si>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</si>
  <si>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</si>
  <si>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</si>
  <si>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</si>
  <si>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</si>
  <si>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</si>
  <si>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</si>
  <si>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</si>
  <si>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</si>
  <si>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</si>
  <si>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</si>
  <si>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</si>
  <si>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</si>
  <si>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</si>
  <si>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</si>
  <si>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</si>
  <si>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</si>
  <si>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</si>
  <si>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</si>
  <si>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</si>
  <si>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</si>
  <si>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</si>
  <si>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</si>
  <si>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</si>
  <si>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</si>
  <si>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</si>
  <si>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</si>
  <si>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</si>
  <si>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</si>
  <si>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</si>
  <si>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</si>
  <si>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</si>
  <si>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</si>
  <si>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</si>
  <si>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</si>
  <si>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</si>
  <si>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</si>
  <si>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</si>
  <si>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</si>
  <si>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</si>
  <si>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</si>
  <si>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</si>
  <si>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</si>
  <si>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</si>
  <si>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</si>
  <si>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</si>
  <si>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</si>
  <si>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</si>
  <si>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</si>
  <si>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</si>
  <si>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</si>
  <si>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</si>
  <si>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</si>
  <si>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</si>
  <si>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</si>
  <si>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</si>
  <si>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</si>
  <si>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</si>
  <si>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</si>
  <si>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</si>
  <si>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</si>
  <si>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</si>
  <si>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</si>
  <si>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</si>
  <si>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</si>
  <si>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</si>
  <si>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</si>
  <si>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</si>
  <si>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</si>
  <si>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</si>
  <si>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</si>
  <si>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</si>
  <si>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</si>
  <si>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</si>
  <si>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</si>
  <si>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</si>
  <si>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</si>
  <si>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</si>
  <si>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</si>
  <si>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</si>
  <si>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</si>
  <si>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</si>
  <si>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</si>
  <si>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</si>
  <si>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</si>
  <si>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</si>
  <si>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</si>
  <si>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</si>
  <si>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</si>
  <si>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</si>
  <si>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</si>
  <si>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</si>
  <si>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</si>
  <si>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</si>
  <si>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</si>
  <si>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</si>
  <si>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</si>
  <si>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</si>
  <si>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</si>
  <si>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</si>
  <si>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</si>
  <si>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</si>
  <si>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</si>
  <si>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</si>
  <si>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</si>
  <si>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</si>
  <si>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</si>
  <si>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</si>
  <si>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</si>
  <si>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</si>
  <si>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</si>
  <si>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</si>
  <si>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</si>
  <si>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</si>
  <si>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</si>
  <si>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</si>
  <si>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</si>
  <si>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</si>
  <si>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</si>
  <si>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</si>
  <si>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</si>
  <si>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</si>
  <si>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</si>
  <si>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</si>
  <si>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</si>
  <si>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</si>
  <si>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</si>
  <si>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</si>
  <si>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</si>
  <si>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</si>
  <si>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</si>
  <si>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</si>
  <si>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</si>
  <si>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</si>
  <si>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</si>
  <si>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</si>
  <si>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</si>
  <si>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</si>
  <si>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</si>
  <si>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</si>
  <si>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</si>
  <si>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</si>
  <si>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</si>
  <si>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</si>
  <si>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</si>
  <si>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</si>
  <si>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</si>
  <si>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</si>
  <si>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</si>
  <si>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</si>
  <si>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</si>
  <si>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</si>
  <si>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</si>
  <si>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</si>
  <si>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</si>
  <si>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</si>
  <si>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</si>
  <si>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</si>
  <si>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</si>
  <si>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</si>
  <si>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</si>
  <si>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</si>
  <si>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</si>
  <si>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</si>
  <si>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</si>
  <si>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</si>
  <si>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</si>
  <si>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</si>
  <si>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</si>
  <si>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</si>
  <si>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</si>
  <si>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</si>
  <si>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</si>
  <si>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</si>
  <si>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</si>
  <si>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</si>
  <si>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</si>
  <si>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</si>
  <si>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</si>
  <si>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</si>
  <si>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</si>
  <si>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</si>
  <si>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</si>
  <si>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</si>
  <si>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</si>
  <si>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</si>
  <si>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</si>
  <si>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</si>
  <si>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</si>
  <si>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</si>
  <si>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</si>
  <si>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</si>
  <si>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</si>
  <si>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</si>
  <si>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</si>
  <si>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</si>
  <si>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</si>
  <si>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</si>
  <si>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</si>
  <si>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</si>
  <si>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</si>
  <si>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</si>
  <si>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</si>
  <si>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</si>
  <si>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</si>
  <si>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</si>
  <si>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</si>
  <si>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</si>
  <si>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</si>
  <si>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</si>
  <si>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</si>
  <si>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</si>
  <si>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</si>
  <si>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</si>
  <si>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</si>
  <si>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</si>
  <si>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</si>
  <si>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</si>
  <si>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</si>
  <si>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</si>
  <si>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</si>
  <si>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</si>
  <si>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</si>
  <si>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</si>
  <si>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</si>
  <si>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</si>
  <si>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</si>
  <si>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</si>
  <si>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</si>
  <si>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</si>
  <si>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</si>
  <si>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</si>
  <si>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</si>
  <si>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</si>
  <si>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</si>
  <si>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</si>
  <si>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</si>
  <si>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</si>
  <si>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</si>
  <si>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</si>
  <si>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</si>
  <si>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</si>
  <si>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</si>
  <si>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</si>
  <si>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</si>
  <si>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</si>
  <si>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</si>
  <si>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</si>
  <si>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</si>
  <si>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</si>
  <si>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</si>
  <si>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</si>
  <si>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</si>
  <si>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</si>
  <si>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</si>
  <si>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</si>
  <si>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</si>
  <si>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</si>
  <si>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</si>
  <si>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</si>
  <si>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</si>
  <si>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</si>
  <si>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</si>
  <si>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</si>
  <si>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</si>
  <si>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</si>
  <si>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</si>
  <si>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</si>
  <si>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</si>
  <si>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</si>
  <si>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</si>
  <si>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</si>
  <si>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</si>
  <si>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</si>
  <si>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</si>
  <si>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</si>
  <si>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</si>
  <si>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</si>
  <si>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</si>
  <si>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</si>
  <si>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</si>
  <si>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</si>
  <si>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</si>
  <si>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</si>
  <si>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</si>
  <si>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</si>
  <si>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</si>
  <si>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</si>
  <si>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</si>
  <si>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</si>
  <si>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</si>
  <si>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</si>
  <si>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</si>
  <si>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</si>
  <si>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</si>
  <si>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</si>
  <si>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</si>
  <si>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</si>
  <si>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</si>
  <si>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</si>
  <si>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</si>
  <si>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</si>
  <si>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</si>
  <si>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</si>
  <si>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</si>
  <si>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</si>
  <si>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</si>
  <si>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</si>
  <si>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</si>
  <si>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</si>
  <si>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</si>
  <si>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</si>
  <si>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</si>
  <si>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</si>
  <si>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</si>
  <si>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</si>
  <si>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</si>
  <si>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</si>
  <si>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</si>
  <si>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</si>
  <si>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</si>
  <si>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</si>
  <si>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</si>
  <si>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</si>
  <si>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</si>
  <si>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</si>
  <si>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</si>
  <si>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</si>
  <si>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</si>
  <si>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</si>
  <si>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</si>
  <si>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</si>
  <si>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</si>
  <si>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</si>
  <si>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</si>
  <si>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</si>
  <si>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</si>
  <si>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</si>
  <si>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</si>
  <si>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</si>
  <si>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</si>
  <si>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</si>
  <si>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</si>
  <si>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</si>
  <si>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</si>
  <si>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</si>
  <si>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</si>
  <si>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</si>
  <si>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</si>
  <si>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</si>
  <si>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</si>
  <si>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</si>
  <si>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</si>
  <si>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</si>
  <si>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</si>
  <si>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</si>
  <si>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</si>
  <si>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</si>
  <si>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</si>
  <si>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</si>
  <si>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</si>
  <si>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</si>
  <si>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</si>
  <si>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</si>
  <si>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</si>
  <si>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</si>
  <si>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</si>
  <si>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</si>
  <si>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</si>
  <si>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</si>
  <si>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</si>
  <si>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</si>
  <si>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</si>
  <si>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</si>
  <si>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</si>
  <si>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</si>
  <si>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</si>
  <si>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</si>
  <si>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</si>
  <si>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</si>
  <si>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</si>
  <si>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</si>
  <si>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</si>
  <si>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</si>
  <si>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</si>
  <si>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</si>
  <si>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</si>
  <si>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</si>
  <si>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</si>
  <si>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</si>
  <si>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</si>
  <si>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</si>
  <si>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</si>
  <si>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</si>
  <si>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</si>
  <si>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</si>
  <si>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</si>
  <si>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</si>
  <si>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</si>
  <si>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</si>
  <si>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</si>
  <si>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</si>
  <si>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</si>
  <si>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</si>
  <si>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</si>
  <si>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</si>
  <si>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</si>
  <si>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</si>
  <si>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</si>
  <si>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</si>
  <si>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</si>
  <si>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</si>
  <si>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</si>
  <si>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</si>
  <si>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</si>
  <si>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</si>
  <si>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</si>
  <si>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</si>
  <si>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</si>
  <si>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</si>
  <si>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</si>
  <si>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</si>
  <si>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</si>
  <si>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</si>
  <si>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</si>
  <si>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</si>
  <si>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</si>
  <si>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</si>
  <si>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</si>
  <si>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</si>
  <si>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</si>
  <si>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</si>
  <si>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</si>
  <si>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</si>
  <si>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</si>
  <si>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</si>
  <si>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</si>
  <si>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</si>
  <si>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</si>
  <si>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</si>
  <si>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</si>
  <si>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</si>
  <si>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</si>
  <si>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</si>
  <si>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</si>
  <si>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</si>
  <si>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</si>
  <si>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</si>
  <si>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</si>
  <si>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</si>
  <si>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</si>
  <si>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</si>
  <si>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</si>
  <si>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</si>
  <si>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</si>
  <si>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</si>
  <si>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</si>
  <si>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</si>
  <si>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</si>
  <si>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</si>
  <si>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</si>
  <si>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</si>
  <si>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</si>
  <si>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</si>
  <si>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</si>
  <si>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</si>
  <si>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</si>
  <si>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</si>
  <si>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</si>
  <si>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</si>
  <si>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</si>
  <si>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</si>
  <si>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</si>
  <si>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</si>
  <si>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</si>
  <si>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</si>
  <si>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</si>
  <si>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</si>
  <si>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</si>
  <si>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</si>
  <si>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</si>
  <si>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</si>
  <si>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</si>
  <si>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</si>
  <si>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</si>
  <si>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</si>
  <si>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</si>
  <si>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</si>
  <si>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</si>
  <si>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</si>
  <si>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</si>
  <si>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</si>
  <si>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</si>
  <si>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</si>
  <si>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</si>
  <si>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</si>
  <si>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</si>
  <si>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</si>
  <si>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</si>
  <si>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</si>
  <si>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</si>
  <si>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</si>
  <si>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</si>
  <si>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</si>
  <si>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</si>
  <si>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</si>
  <si>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</si>
  <si>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</si>
  <si>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</si>
  <si>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</si>
  <si>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</si>
  <si>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</si>
  <si>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</si>
  <si>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</si>
  <si>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</si>
  <si>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</si>
  <si>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</si>
  <si>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</si>
  <si>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</si>
  <si>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</si>
  <si>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</si>
  <si>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</si>
  <si>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</si>
  <si>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</si>
  <si>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</si>
  <si>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</si>
  <si>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</si>
  <si>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</si>
  <si>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</si>
  <si>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</si>
  <si>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</si>
  <si>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</si>
  <si>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</si>
  <si>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</si>
  <si>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</si>
  <si>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</si>
  <si>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</si>
  <si>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</si>
  <si>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</si>
  <si>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</si>
  <si>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</si>
  <si>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</si>
  <si>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</si>
  <si>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</si>
  <si>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</si>
  <si>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</si>
  <si>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</si>
  <si>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</si>
  <si>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</si>
  <si>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</si>
  <si>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</si>
  <si>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</si>
  <si>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</si>
  <si>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</si>
  <si>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</si>
  <si>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</si>
  <si>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</si>
  <si>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</si>
  <si>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</si>
  <si>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</si>
  <si>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</si>
  <si>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</si>
  <si>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</si>
  <si>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</si>
  <si>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</si>
  <si>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</si>
  <si>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</si>
  <si>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</si>
  <si>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</si>
  <si>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</si>
  <si>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</si>
  <si>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</si>
  <si>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</si>
  <si>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</si>
  <si>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</si>
  <si>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</si>
  <si>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</si>
  <si>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</si>
  <si>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</si>
  <si>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</si>
  <si>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</si>
  <si>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</si>
  <si>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</si>
  <si>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</si>
  <si>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</si>
  <si>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</si>
  <si>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</si>
  <si>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</si>
  <si>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</si>
  <si>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</si>
  <si>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</si>
  <si>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</si>
  <si>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</si>
  <si>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</si>
  <si>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</si>
  <si>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</si>
  <si>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</si>
  <si>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</si>
  <si>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</si>
  <si>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</si>
  <si>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</si>
  <si>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</si>
  <si>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</si>
  <si>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</si>
  <si>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</si>
  <si>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</si>
  <si>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</si>
  <si>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</si>
  <si>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</si>
  <si>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</si>
  <si>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</si>
  <si>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</si>
  <si>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</si>
  <si>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</si>
  <si>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</si>
  <si>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</si>
  <si>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</si>
  <si>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</si>
  <si>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</si>
  <si>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</si>
  <si>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</si>
  <si>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</si>
  <si>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</si>
  <si>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</si>
  <si>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</si>
  <si>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</si>
  <si>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</si>
  <si>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</si>
  <si>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</si>
  <si>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</si>
  <si>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</si>
  <si>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</si>
  <si>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</si>
  <si>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</si>
  <si>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</si>
  <si>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</si>
  <si>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</si>
  <si>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</si>
  <si>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</si>
  <si>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</si>
  <si>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</si>
  <si>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</si>
  <si>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</si>
  <si>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</si>
  <si>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</si>
  <si>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</si>
  <si>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</si>
  <si>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</si>
  <si>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</si>
  <si>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</si>
  <si>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</si>
  <si>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</si>
  <si>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</si>
  <si>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</si>
  <si>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</si>
  <si>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</si>
  <si>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</si>
  <si>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</si>
  <si>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</si>
  <si>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</si>
  <si>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</si>
  <si>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</si>
  <si>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</si>
  <si>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</si>
  <si>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</si>
  <si>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</si>
  <si>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</si>
  <si>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</si>
  <si>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</si>
  <si>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</si>
  <si>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</si>
  <si>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</si>
  <si>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</si>
  <si>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</si>
  <si>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</si>
  <si>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</si>
  <si>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</si>
  <si>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</si>
  <si>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</si>
  <si>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</si>
  <si>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</si>
  <si>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</si>
  <si>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</si>
  <si>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</si>
  <si>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</si>
  <si>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</si>
  <si>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</si>
  <si>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</si>
  <si>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</si>
  <si>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</si>
  <si>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</si>
  <si>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</si>
  <si>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</si>
  <si>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</si>
  <si>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</si>
  <si>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</si>
  <si>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</si>
  <si>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</si>
  <si>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</si>
  <si>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</si>
  <si>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</si>
  <si>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</si>
  <si>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</si>
  <si>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</si>
  <si>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</si>
  <si>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</si>
  <si>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</si>
  <si>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</si>
  <si>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</si>
  <si>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</si>
  <si>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</si>
  <si>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</si>
  <si>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</si>
  <si>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</si>
  <si>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</si>
  <si>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</si>
  <si>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</si>
  <si>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</si>
  <si>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</si>
  <si>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</si>
  <si>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</si>
  <si>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</si>
  <si>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</si>
  <si>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</si>
  <si>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</si>
  <si>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</si>
  <si>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</si>
  <si>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</si>
  <si>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</si>
  <si>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</si>
  <si>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</si>
  <si>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</si>
  <si>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</si>
  <si>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</si>
  <si>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</si>
  <si>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</si>
  <si>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</si>
  <si>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</si>
  <si>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</si>
  <si>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</si>
  <si>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</si>
  <si>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</si>
  <si>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</si>
  <si>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</si>
  <si>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</si>
  <si>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</si>
  <si>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</si>
  <si>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</si>
  <si>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</si>
  <si>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</si>
  <si>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</si>
  <si>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</si>
  <si>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</si>
  <si>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</si>
  <si>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</si>
  <si>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</si>
  <si>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</si>
  <si>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</si>
  <si>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</si>
  <si>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</si>
  <si>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</si>
  <si>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</si>
  <si>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</si>
  <si>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</si>
  <si>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</si>
  <si>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</si>
  <si>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</si>
  <si>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</si>
  <si>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</si>
  <si>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</si>
  <si>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</si>
  <si>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</si>
  <si>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</si>
  <si>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</si>
  <si>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</si>
  <si>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</si>
  <si>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</si>
  <si>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</si>
  <si>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</si>
  <si>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</si>
  <si>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</si>
  <si>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</si>
  <si>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</si>
  <si>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</si>
  <si>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</si>
  <si>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</si>
  <si>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</si>
  <si>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</si>
  <si>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</si>
  <si>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</si>
  <si>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</si>
  <si>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</si>
  <si>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</si>
  <si>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</si>
  <si>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</si>
  <si>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</si>
  <si>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</si>
  <si>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</si>
  <si>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</si>
  <si>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</si>
  <si>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</si>
  <si>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</si>
  <si>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</si>
  <si>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</si>
  <si>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</si>
  <si>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</si>
  <si>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</si>
  <si>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</si>
  <si>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</si>
  <si>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</si>
  <si>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</si>
  <si>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</si>
  <si>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</si>
  <si>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</si>
  <si>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</si>
  <si>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</si>
  <si>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</si>
  <si>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</si>
  <si>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</si>
  <si>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</si>
  <si>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</si>
  <si>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</si>
  <si>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</si>
  <si>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</si>
  <si>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</si>
  <si>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</si>
  <si>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</si>
  <si>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</si>
  <si>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</si>
  <si>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</si>
  <si>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</si>
  <si>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</si>
  <si>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</si>
  <si>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</si>
  <si>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</si>
  <si>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</si>
  <si>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</si>
  <si>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</si>
  <si>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</si>
  <si>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</si>
  <si>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</si>
  <si>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</si>
  <si>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</si>
  <si>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</si>
  <si>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</si>
  <si>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</si>
  <si>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</si>
  <si>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</si>
  <si>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</si>
  <si>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</si>
  <si>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</si>
  <si>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</si>
  <si>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</si>
  <si>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</si>
  <si>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</si>
  <si>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</si>
  <si>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</si>
  <si>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</si>
  <si>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</si>
  <si>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</si>
  <si>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</si>
  <si>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</si>
  <si>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</si>
  <si>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</si>
  <si>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</si>
  <si>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</si>
  <si>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</si>
  <si>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</si>
  <si>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</si>
  <si>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</si>
  <si>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</si>
  <si>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</si>
  <si>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</si>
  <si>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</si>
  <si>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</si>
  <si>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</si>
  <si>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</si>
  <si>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</si>
  <si>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</si>
  <si>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</si>
  <si>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</si>
  <si>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</si>
  <si>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</si>
  <si>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</si>
  <si>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</si>
  <si>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</si>
  <si>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</si>
  <si>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</si>
  <si>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</si>
  <si>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</si>
  <si>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</si>
  <si>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</si>
  <si>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</si>
  <si>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</si>
  <si>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</si>
  <si>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</si>
  <si>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</si>
  <si>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</si>
  <si>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</si>
  <si>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</si>
  <si>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</si>
  <si>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</si>
  <si>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</si>
  <si>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</si>
  <si>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</si>
  <si>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</si>
  <si>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</si>
  <si>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</si>
  <si>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</si>
  <si>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</si>
  <si>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</si>
  <si>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</si>
  <si>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</si>
  <si>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</si>
  <si>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</si>
  <si>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</si>
  <si>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</si>
  <si>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</si>
  <si>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</si>
  <si>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</si>
  <si>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</si>
  <si>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</si>
  <si>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</si>
  <si>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</si>
  <si>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</si>
  <si>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</si>
  <si>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</si>
  <si>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</si>
  <si>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</si>
  <si>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</si>
  <si>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</si>
  <si>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</si>
  <si>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</si>
  <si>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</si>
  <si>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</si>
  <si>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</si>
  <si>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</si>
  <si>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</si>
  <si>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</si>
  <si>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</si>
  <si>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</si>
  <si>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</si>
  <si>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</si>
  <si>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</si>
  <si>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</si>
  <si>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</si>
  <si>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</si>
  <si>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</si>
  <si>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</si>
  <si>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</si>
  <si>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</si>
  <si>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</si>
  <si>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</si>
  <si>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</si>
  <si>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</si>
  <si>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</si>
  <si>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</si>
  <si>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</si>
  <si>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</si>
  <si>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</si>
  <si>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</si>
  <si>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</si>
  <si>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</si>
  <si>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</si>
  <si>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</si>
  <si>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</si>
  <si>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</si>
  <si>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</si>
  <si>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</si>
  <si>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</si>
  <si>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</si>
  <si>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</si>
  <si>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</si>
  <si>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</si>
  <si>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</si>
  <si>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</si>
  <si>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</si>
  <si>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</si>
  <si>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</si>
  <si>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</si>
  <si>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</si>
  <si>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</si>
  <si>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</si>
  <si>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</si>
  <si>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</si>
  <si>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</si>
  <si>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</si>
  <si>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</si>
  <si>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</si>
  <si>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</si>
  <si>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</si>
  <si>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</si>
  <si>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</si>
  <si>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</si>
  <si>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</si>
  <si>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</si>
  <si>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</si>
  <si>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</si>
  <si>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</si>
  <si>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</si>
  <si>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</si>
  <si>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</si>
  <si>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</si>
  <si>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</si>
  <si>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</si>
  <si>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</si>
  <si>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</si>
  <si>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</si>
  <si>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</si>
  <si>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</si>
  <si>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</si>
  <si>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</si>
  <si>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</si>
  <si>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</si>
  <si>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</si>
  <si>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</si>
  <si>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</si>
  <si>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</si>
  <si>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</si>
  <si>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</si>
  <si>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</si>
  <si>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</si>
  <si>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</si>
  <si>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</si>
  <si>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</si>
  <si>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</si>
  <si>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</si>
  <si>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</si>
  <si>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</si>
  <si>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</si>
  <si>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</si>
  <si>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</si>
  <si>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</si>
  <si>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</si>
  <si>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</si>
  <si>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</si>
  <si>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</si>
  <si>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</si>
  <si>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</si>
  <si>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</si>
  <si>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</si>
  <si>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</si>
  <si>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</si>
  <si>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</si>
  <si>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</si>
  <si>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</si>
  <si>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</si>
  <si>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</si>
  <si>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</si>
  <si>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</si>
  <si>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</si>
  <si>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</si>
  <si>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</si>
  <si>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</si>
  <si>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</si>
  <si>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</si>
  <si>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</si>
  <si>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</si>
  <si>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</si>
  <si>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</si>
  <si>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</si>
  <si>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</si>
  <si>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</si>
  <si>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</si>
  <si>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</si>
  <si>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</si>
  <si>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</si>
  <si>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</si>
  <si>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</si>
  <si>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</si>
  <si>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</si>
  <si>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</si>
  <si>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</si>
  <si>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</si>
  <si>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</si>
  <si>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</si>
  <si>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</si>
  <si>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</si>
  <si>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</si>
  <si>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</si>
  <si>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</si>
  <si>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</si>
  <si>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</si>
  <si>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</si>
  <si>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</si>
  <si>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</si>
  <si>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</si>
  <si>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</si>
  <si>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</si>
  <si>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</si>
  <si>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</si>
  <si>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</si>
  <si>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</si>
  <si>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</si>
  <si>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</si>
  <si>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</si>
  <si>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</si>
  <si>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</si>
  <si>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</si>
  <si>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</si>
  <si>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</si>
  <si>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</si>
  <si>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</si>
  <si>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</si>
  <si>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</si>
  <si>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</si>
  <si>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</si>
  <si>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</si>
  <si>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</si>
  <si>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</si>
  <si>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</si>
  <si>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</si>
  <si>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</si>
  <si>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</si>
  <si>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</si>
  <si>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</si>
  <si>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</si>
  <si>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</si>
  <si>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</si>
  <si>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</si>
  <si>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</si>
  <si>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</si>
  <si>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</si>
  <si>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</si>
  <si>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</si>
  <si>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</si>
  <si>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</si>
  <si>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</si>
  <si>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</si>
  <si>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</si>
  <si>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</si>
  <si>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</si>
  <si>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</si>
  <si>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</si>
  <si>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</si>
  <si>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</si>
  <si>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</si>
  <si>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</si>
  <si>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</si>
  <si>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</si>
  <si>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</si>
  <si>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</si>
  <si>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</si>
  <si>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</si>
  <si>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</si>
  <si>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</si>
  <si>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</si>
  <si>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</si>
  <si>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</si>
  <si>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</si>
  <si>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</si>
  <si>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</si>
  <si>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</si>
  <si>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</si>
  <si>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</si>
  <si>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</si>
  <si>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</si>
  <si>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</si>
  <si>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</si>
  <si>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</si>
  <si>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</si>
  <si>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</si>
  <si>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</si>
  <si>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</si>
  <si>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</si>
  <si>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</si>
  <si>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</si>
  <si>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</si>
  <si>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</si>
  <si>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</si>
  <si>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</si>
  <si>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</si>
  <si>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</si>
  <si>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</si>
  <si>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</si>
  <si>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</si>
  <si>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</si>
  <si>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</si>
  <si>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</si>
  <si>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</si>
  <si>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</si>
  <si>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</si>
  <si>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</si>
  <si>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</si>
  <si>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</si>
  <si>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</si>
  <si>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</si>
  <si>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</si>
  <si>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</si>
  <si>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</si>
  <si>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</si>
  <si>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</si>
  <si>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</si>
  <si>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</si>
  <si>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</si>
  <si>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</si>
  <si>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</si>
  <si>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</si>
  <si>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</si>
  <si>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</si>
  <si>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</si>
  <si>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</si>
  <si>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</si>
  <si>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</si>
  <si>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</si>
  <si>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</si>
  <si>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</si>
  <si>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</si>
  <si>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</si>
  <si>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</si>
  <si>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</si>
  <si>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</si>
  <si>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</si>
  <si>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</si>
  <si>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</si>
  <si>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</si>
  <si>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</si>
  <si>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</si>
  <si>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</si>
  <si>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</si>
  <si>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</si>
  <si>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</si>
  <si>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</si>
  <si>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</si>
  <si>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</si>
  <si>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</si>
  <si>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</si>
  <si>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</si>
  <si>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</si>
  <si>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</si>
  <si>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</si>
  <si>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</si>
  <si>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</si>
  <si>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</si>
  <si>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</si>
  <si>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</si>
  <si>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</si>
  <si>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</si>
  <si>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</si>
  <si>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</si>
  <si>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</si>
  <si>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</si>
  <si>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</si>
  <si>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</si>
  <si>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</si>
  <si>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</si>
  <si>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</si>
  <si>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</si>
  <si>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</si>
  <si>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</si>
  <si>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</si>
  <si>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</si>
  <si>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</si>
  <si>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</si>
  <si>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</si>
  <si>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</si>
  <si>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</si>
  <si>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</si>
  <si>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</si>
  <si>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</si>
  <si>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</si>
  <si>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</si>
  <si>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</si>
  <si>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</si>
  <si>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</si>
  <si>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</si>
  <si>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</si>
  <si>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</si>
  <si>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</si>
  <si>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</si>
  <si>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</si>
  <si>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</si>
  <si>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</si>
  <si>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</si>
  <si>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</si>
  <si>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</si>
  <si>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</si>
  <si>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</si>
  <si>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</si>
  <si>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</si>
  <si>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</si>
  <si>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</si>
  <si>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</si>
  <si>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</si>
  <si>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</si>
  <si>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</si>
  <si>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</si>
  <si>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</si>
  <si>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</si>
  <si>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</si>
  <si>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</si>
  <si>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</si>
  <si>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</si>
  <si>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</si>
  <si>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</si>
  <si>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</si>
  <si>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</si>
  <si>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</si>
  <si>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</si>
  <si>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</si>
  <si>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</si>
  <si>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</si>
  <si>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</si>
  <si>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</si>
  <si>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</si>
  <si>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</si>
  <si>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</si>
  <si>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</si>
  <si>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</si>
  <si>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</si>
  <si>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</si>
  <si>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</si>
  <si>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</si>
  <si>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</si>
  <si>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</si>
  <si>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</si>
  <si>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</si>
  <si>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</si>
  <si>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</si>
  <si>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</si>
  <si>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</si>
  <si>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</si>
  <si>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</si>
  <si>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</si>
  <si>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</si>
  <si>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</si>
  <si>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</si>
  <si>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</si>
  <si>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</si>
  <si>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</si>
  <si>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</si>
  <si>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</si>
  <si>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</si>
  <si>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</si>
  <si>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</si>
  <si>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</si>
  <si>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</si>
  <si>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</si>
  <si>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</si>
  <si>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</si>
  <si>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</si>
  <si>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</si>
  <si>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</si>
  <si>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</si>
  <si>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</si>
  <si>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</si>
  <si>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</si>
  <si>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</si>
  <si>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</si>
  <si>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</si>
  <si>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</si>
  <si>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</si>
  <si>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</si>
  <si>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</si>
  <si>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</si>
  <si>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</si>
  <si>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</si>
  <si>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</si>
  <si>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</si>
  <si>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</si>
  <si>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</si>
  <si>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</si>
  <si>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</si>
  <si>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</si>
  <si>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</si>
  <si>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</si>
  <si>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</si>
  <si>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</si>
  <si>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</si>
  <si>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</si>
  <si>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</si>
  <si>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</si>
  <si>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</si>
  <si>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</si>
  <si>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</si>
  <si>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</si>
  <si>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</si>
  <si>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</si>
  <si>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</si>
  <si>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</si>
  <si>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</si>
  <si>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</si>
  <si>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</si>
  <si>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</si>
  <si>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</si>
  <si>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</si>
  <si>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</si>
  <si>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</si>
  <si>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</si>
  <si>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</si>
  <si>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</si>
  <si>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</si>
  <si>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</si>
  <si>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</si>
  <si>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</si>
  <si>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</si>
  <si>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</si>
  <si>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</si>
  <si>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</si>
  <si>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</si>
  <si>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</si>
  <si>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</si>
  <si>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</si>
  <si>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</si>
  <si>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</si>
  <si>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</si>
  <si>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</si>
  <si>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</si>
  <si>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</si>
  <si>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</si>
  <si>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</si>
  <si>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</si>
  <si>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</si>
  <si>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</si>
  <si>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</si>
  <si>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</si>
  <si>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</si>
  <si>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</si>
  <si>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</si>
  <si>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</si>
  <si>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</si>
  <si>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</si>
  <si>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</si>
  <si>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</si>
  <si>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</si>
  <si>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</si>
  <si>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</si>
  <si>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</si>
  <si>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</si>
  <si>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</si>
  <si>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</si>
  <si>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</si>
  <si>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</si>
  <si>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</si>
  <si>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</si>
  <si>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</si>
  <si>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</si>
  <si>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</si>
  <si>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</si>
  <si>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</si>
  <si>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</si>
  <si>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</si>
  <si>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</si>
  <si>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</si>
  <si>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</si>
  <si>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</si>
  <si>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</si>
  <si>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</si>
  <si>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</si>
  <si>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</si>
  <si>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</si>
  <si>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</si>
  <si>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</si>
  <si>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</si>
  <si>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</si>
  <si>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</si>
  <si>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</si>
  <si>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</si>
  <si>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</si>
  <si>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</si>
  <si>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</si>
  <si>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</si>
  <si>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</si>
  <si>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</si>
  <si>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</si>
  <si>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</si>
  <si>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</si>
  <si>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</si>
  <si>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</si>
  <si>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</si>
  <si>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</si>
  <si>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</si>
  <si>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</si>
  <si>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</si>
  <si>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</si>
  <si>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</si>
  <si>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</si>
  <si>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</si>
  <si>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</si>
  <si>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</si>
  <si>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</si>
  <si>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</si>
  <si>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</si>
  <si>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</si>
  <si>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</si>
  <si>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</si>
  <si>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</si>
  <si>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</si>
  <si>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</si>
  <si>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</si>
  <si>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</si>
  <si>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</si>
  <si>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</si>
  <si>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</si>
  <si>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</si>
  <si>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</si>
  <si>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</si>
  <si>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</si>
  <si>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</si>
  <si>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</si>
  <si>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</si>
  <si>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</si>
  <si>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</si>
  <si>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</si>
  <si>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</si>
  <si>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</si>
  <si>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</si>
  <si>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</si>
  <si>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</si>
  <si>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</si>
  <si>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</si>
  <si>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</si>
  <si>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</si>
  <si>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</si>
  <si>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</si>
  <si>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</si>
  <si>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</si>
  <si>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</si>
  <si>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</si>
  <si>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</si>
  <si>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</si>
  <si>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</si>
  <si>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</si>
  <si>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</si>
  <si>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</si>
  <si>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</si>
  <si>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</si>
  <si>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</si>
  <si>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</si>
  <si>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</si>
  <si>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</si>
  <si>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</si>
  <si>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</si>
  <si>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</si>
  <si>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</si>
  <si>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</si>
  <si>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</si>
  <si>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</si>
  <si>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</si>
  <si>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</si>
  <si>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</si>
  <si>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</si>
  <si>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</si>
  <si>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</si>
  <si>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</si>
  <si>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</si>
  <si>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</si>
  <si>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</si>
  <si>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</si>
  <si>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</si>
  <si>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</si>
  <si>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</si>
  <si>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</si>
  <si>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</si>
  <si>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</si>
  <si>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</si>
  <si>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</si>
  <si>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</si>
  <si>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</si>
  <si>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</si>
  <si>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</si>
  <si>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</si>
  <si>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</si>
  <si>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</si>
  <si>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</si>
  <si>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</si>
  <si>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</si>
  <si>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</si>
  <si>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</si>
  <si>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</si>
  <si>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</si>
  <si>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</si>
  <si>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</si>
  <si>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</si>
  <si>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</si>
  <si>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</si>
  <si>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</si>
  <si>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</si>
  <si>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</si>
  <si>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</si>
  <si>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</si>
  <si>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</si>
  <si>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</si>
  <si>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</si>
  <si>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</si>
  <si>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</si>
  <si>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</si>
  <si>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</si>
  <si>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</si>
  <si>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</si>
  <si>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</si>
  <si>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</si>
  <si>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</si>
  <si>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</si>
  <si>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</si>
  <si>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</si>
  <si>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</si>
  <si>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</si>
  <si>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</si>
  <si>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</si>
  <si>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</si>
  <si>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</si>
  <si>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</si>
  <si>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</si>
  <si>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</si>
  <si>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</si>
  <si>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</si>
  <si>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</si>
  <si>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</si>
  <si>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</si>
  <si>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</si>
  <si>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</si>
  <si>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</si>
  <si>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</si>
  <si>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</si>
  <si>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</si>
  <si>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</si>
  <si>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</si>
  <si>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</si>
  <si>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</si>
  <si>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</si>
  <si>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</si>
  <si>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</si>
  <si>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</si>
  <si>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</si>
  <si>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</si>
  <si>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</si>
  <si>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</si>
  <si>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</si>
  <si>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</si>
  <si>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</si>
  <si>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</si>
  <si>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</si>
  <si>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</si>
  <si>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</si>
  <si>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</si>
  <si>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</si>
  <si>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</si>
  <si>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</si>
  <si>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</si>
  <si>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</si>
  <si>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</si>
  <si>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</si>
  <si>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</si>
  <si>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</si>
  <si>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</si>
  <si>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</si>
  <si>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</si>
  <si>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</si>
  <si>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</si>
  <si>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</si>
  <si>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</si>
  <si>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</si>
  <si>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</si>
  <si>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</si>
  <si>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</si>
  <si>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</si>
  <si>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</si>
  <si>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</si>
  <si>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</si>
  <si>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</si>
  <si>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</si>
  <si>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</si>
  <si>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</si>
  <si>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</si>
  <si>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</si>
  <si>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</si>
  <si>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</si>
  <si>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</si>
  <si>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</si>
  <si>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</si>
  <si>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</si>
  <si>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</si>
  <si>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</si>
  <si>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</si>
  <si>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</si>
  <si>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</si>
  <si>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</si>
  <si>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</si>
  <si>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</si>
  <si>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</si>
  <si>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</si>
  <si>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</si>
  <si>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</si>
  <si>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</si>
  <si>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</si>
  <si>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</si>
  <si>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</si>
  <si>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</si>
  <si>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</si>
  <si>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</si>
  <si>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</si>
  <si>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</si>
  <si>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</si>
  <si>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</si>
  <si>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</si>
  <si>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</si>
  <si>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</si>
  <si>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</si>
  <si>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</si>
  <si>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</si>
  <si>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</si>
  <si>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</si>
  <si>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</si>
  <si>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</si>
  <si>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</si>
  <si>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</si>
  <si>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</si>
  <si>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</si>
  <si>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</si>
  <si>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</si>
  <si>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</si>
  <si>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</si>
  <si>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</si>
  <si>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</si>
  <si>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</si>
  <si>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</si>
  <si>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</si>
  <si>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</si>
  <si>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</si>
  <si>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</si>
  <si>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</si>
  <si>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</si>
  <si>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</si>
  <si>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</si>
  <si>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</si>
  <si>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</si>
  <si>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</si>
  <si>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</si>
  <si>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</si>
  <si>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</si>
  <si>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</si>
  <si>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</si>
  <si>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</si>
  <si>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</si>
  <si>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</si>
  <si>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</si>
  <si>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</si>
  <si>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</si>
  <si>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</si>
  <si>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</si>
  <si>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</si>
  <si>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</si>
  <si>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</si>
  <si>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</si>
  <si>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</si>
  <si>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</si>
  <si>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</si>
  <si>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</si>
  <si>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</si>
  <si>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</si>
  <si>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</si>
  <si>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</si>
  <si>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</si>
  <si>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</si>
  <si>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</si>
  <si>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</si>
  <si>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</si>
  <si>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</si>
  <si>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</si>
  <si>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</si>
  <si>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</si>
  <si>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</si>
  <si>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</si>
  <si>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</si>
  <si>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</si>
  <si>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</si>
  <si>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</si>
  <si>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</si>
  <si>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</si>
  <si>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</si>
  <si>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</si>
  <si>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</si>
  <si>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</si>
  <si>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</si>
  <si>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</si>
  <si>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</si>
  <si>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</si>
  <si>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</si>
  <si>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</si>
  <si>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</si>
  <si>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</si>
  <si>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</si>
  <si>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</si>
  <si>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</si>
  <si>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</si>
  <si>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</si>
  <si>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</si>
  <si>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</si>
  <si>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</si>
  <si>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</si>
  <si>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</si>
  <si>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</si>
  <si>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</si>
  <si>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</si>
  <si>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</si>
  <si>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</si>
  <si>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</si>
  <si>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</si>
  <si>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</si>
  <si>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</si>
  <si>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</si>
  <si>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</si>
  <si>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</si>
  <si>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</si>
  <si>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</si>
  <si>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</si>
  <si>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</si>
  <si>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</si>
  <si>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</si>
  <si>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</si>
  <si>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</si>
  <si>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</si>
  <si>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</si>
  <si>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</si>
  <si>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</si>
  <si>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</si>
  <si>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</si>
  <si>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</si>
  <si>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</si>
  <si>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</si>
  <si>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</si>
  <si>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</si>
  <si>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</si>
  <si>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</si>
  <si>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</si>
  <si>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</si>
  <si>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</si>
  <si>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</si>
  <si>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</si>
  <si>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</si>
  <si>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</si>
  <si>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</si>
  <si>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</si>
  <si>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</si>
  <si>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</si>
  <si>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</si>
  <si>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</si>
  <si>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</si>
  <si>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</si>
  <si>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</si>
  <si>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</si>
  <si>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</si>
  <si>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</si>
  <si>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</si>
  <si>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</si>
  <si>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</si>
  <si>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</si>
  <si>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</si>
  <si>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</si>
  <si>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</si>
  <si>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</si>
  <si>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</si>
  <si>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</si>
  <si>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</si>
  <si>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</si>
  <si>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</si>
  <si>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</si>
  <si>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</si>
  <si>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</si>
  <si>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</si>
  <si>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</si>
  <si>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</si>
  <si>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</si>
  <si>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</si>
  <si>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</si>
  <si>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</si>
  <si>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</si>
  <si>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</si>
  <si>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</si>
  <si>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</si>
  <si>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</si>
  <si>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</si>
  <si>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</si>
  <si>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</si>
  <si>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</si>
  <si>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</si>
  <si>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</si>
  <si>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</si>
  <si>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</si>
  <si>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</si>
  <si>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</si>
  <si>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</si>
  <si>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</si>
  <si>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</si>
  <si>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</si>
  <si>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</si>
  <si>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</si>
  <si>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</si>
  <si>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</si>
  <si>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</si>
  <si>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</si>
  <si>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</si>
  <si>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</si>
  <si>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</si>
  <si>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</si>
  <si>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</si>
  <si>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</si>
  <si>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</si>
  <si>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</si>
  <si>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</si>
  <si>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</si>
  <si>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</si>
  <si>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</si>
  <si>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</si>
  <si>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</si>
  <si>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</si>
  <si>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</si>
  <si>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</si>
  <si>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</si>
  <si>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</si>
  <si>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</si>
  <si>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</si>
  <si>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</si>
  <si>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</si>
  <si>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</si>
  <si>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</si>
  <si>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</si>
  <si>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</si>
  <si>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</si>
  <si>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</si>
  <si>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</si>
  <si>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</si>
  <si>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</si>
  <si>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</si>
  <si>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</si>
  <si>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</si>
  <si>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</si>
  <si>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</si>
  <si>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</si>
  <si>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</si>
  <si>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</si>
  <si>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</si>
  <si>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</si>
  <si>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</si>
  <si>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</si>
  <si>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</si>
  <si>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</si>
  <si>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</si>
  <si>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</si>
  <si>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</si>
  <si>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</si>
  <si>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</si>
  <si>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</si>
  <si>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</si>
  <si>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</si>
  <si>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</si>
  <si>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</si>
  <si>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</si>
  <si>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</si>
  <si>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</si>
  <si>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</si>
  <si>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</si>
  <si>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</si>
  <si>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</si>
  <si>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</si>
  <si>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</si>
  <si>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</si>
  <si>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</si>
  <si>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</si>
  <si>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</si>
  <si>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</si>
  <si>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</si>
  <si>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</si>
  <si>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</si>
  <si>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</si>
  <si>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</si>
  <si>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</si>
  <si>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</si>
  <si>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</si>
  <si>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</si>
  <si>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</si>
  <si>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</si>
  <si>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</si>
  <si>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</si>
  <si>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</si>
  <si>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</si>
  <si>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</si>
  <si>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</si>
  <si>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</si>
  <si>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</si>
  <si>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</si>
  <si>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</si>
  <si>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</si>
  <si>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</si>
  <si>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</si>
  <si>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</si>
  <si>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</si>
  <si>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</si>
  <si>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</si>
  <si>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</si>
  <si>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</si>
  <si>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</si>
  <si>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</si>
  <si>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</si>
  <si>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</si>
  <si>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</si>
  <si>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</si>
  <si>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</si>
  <si>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</si>
  <si>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</si>
  <si>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</si>
  <si>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</si>
  <si>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</si>
  <si>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</si>
  <si>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</si>
  <si>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</si>
  <si>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</si>
  <si>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</si>
  <si>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</si>
  <si>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</si>
  <si>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</si>
  <si>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</si>
  <si>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</si>
  <si>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</si>
  <si>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</si>
  <si>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</si>
  <si>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</si>
  <si>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</si>
  <si>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</si>
  <si>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</si>
  <si>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</si>
  <si>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</si>
  <si>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</si>
  <si>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</si>
  <si>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</si>
  <si>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</si>
  <si>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</si>
  <si>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</si>
  <si>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</si>
  <si>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</si>
  <si>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</si>
  <si>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</si>
  <si>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</si>
  <si>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</si>
  <si>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</si>
  <si>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</si>
  <si>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</si>
  <si>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</si>
  <si>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</si>
  <si>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</si>
  <si>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</si>
  <si>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</si>
  <si>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</si>
  <si>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</si>
  <si>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</si>
  <si>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</si>
  <si>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</si>
  <si>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</si>
  <si>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</si>
  <si>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</si>
  <si>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</si>
  <si>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</si>
  <si>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</si>
  <si>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</si>
  <si>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</si>
  <si>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</si>
  <si>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</si>
  <si>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</si>
  <si>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</si>
  <si>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</si>
  <si>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</si>
  <si>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</si>
  <si>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</si>
  <si>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</si>
  <si>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</si>
  <si>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</si>
  <si>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</si>
  <si>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</si>
  <si>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</si>
  <si>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</si>
  <si>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</si>
  <si>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</si>
  <si>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</si>
  <si>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</si>
  <si>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</si>
  <si>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</si>
  <si>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</si>
  <si>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</si>
  <si>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</si>
  <si>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</si>
  <si>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</si>
  <si>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</si>
  <si>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</si>
  <si>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</si>
  <si>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</si>
  <si>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</si>
  <si>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</si>
  <si>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</si>
  <si>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</si>
  <si>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</si>
  <si>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</si>
  <si>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</si>
  <si>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</si>
  <si>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</si>
  <si>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</si>
  <si>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</si>
  <si>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</si>
  <si>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</si>
  <si>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</si>
  <si>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</si>
  <si>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</si>
  <si>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</si>
  <si>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</si>
  <si>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</si>
  <si>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</si>
  <si>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</si>
  <si>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</si>
  <si>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</si>
  <si>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</si>
  <si>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</si>
  <si>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</si>
  <si>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</si>
  <si>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</si>
  <si>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</si>
  <si>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</si>
  <si>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</si>
  <si>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</si>
  <si>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</si>
  <si>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</si>
  <si>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</si>
  <si>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</si>
  <si>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</si>
  <si>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</si>
  <si>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</si>
  <si>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</si>
  <si>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</si>
  <si>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</si>
  <si>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</si>
  <si>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</si>
  <si>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</si>
  <si>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</si>
  <si>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</si>
  <si>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</si>
  <si>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</si>
  <si>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</si>
  <si>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</si>
  <si>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</si>
  <si>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</si>
  <si>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</si>
  <si>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</si>
  <si>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</si>
  <si>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</si>
  <si>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</si>
  <si>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</si>
  <si>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</si>
  <si>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</si>
  <si>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</si>
  <si>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</si>
  <si>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</si>
  <si>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</si>
  <si>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</si>
  <si>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</si>
  <si>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</si>
  <si>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</si>
  <si>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</si>
  <si>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</si>
  <si>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</si>
  <si>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</si>
  <si>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</si>
  <si>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</si>
  <si>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</si>
  <si>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</si>
  <si>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</si>
  <si>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</si>
  <si>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</si>
  <si>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</si>
  <si>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</si>
  <si>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</si>
  <si>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</si>
  <si>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</si>
  <si>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</si>
  <si>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</si>
  <si>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</si>
  <si>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</si>
  <si>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</si>
  <si>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</si>
  <si>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</si>
  <si>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</si>
  <si>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</si>
  <si>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</si>
  <si>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</si>
  <si>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</si>
  <si>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</si>
  <si>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</si>
  <si>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</si>
  <si>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</si>
  <si>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</si>
  <si>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</si>
  <si>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</si>
  <si>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</si>
  <si>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</si>
  <si>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</si>
  <si>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</si>
  <si>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</si>
  <si>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</si>
  <si>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</si>
  <si>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</si>
  <si>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</si>
  <si>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</si>
  <si>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</si>
  <si>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</si>
  <si>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</si>
  <si>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</si>
  <si>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</si>
  <si>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</si>
  <si>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</si>
  <si>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</si>
  <si>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</si>
  <si>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</si>
  <si>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</si>
  <si>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</si>
  <si>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</si>
  <si>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</si>
  <si>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</si>
  <si>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</si>
  <si>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</si>
  <si>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</si>
  <si>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</si>
  <si>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</si>
  <si>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</si>
  <si>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</si>
  <si>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</si>
  <si>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</si>
  <si>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</si>
  <si>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</si>
  <si>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</si>
  <si>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</si>
  <si>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</si>
  <si>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</si>
  <si>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</si>
  <si>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</si>
  <si>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</si>
  <si>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</si>
  <si>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</si>
  <si>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</si>
  <si>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</si>
  <si>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</si>
  <si>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</si>
  <si>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</si>
  <si>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</si>
  <si>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</si>
  <si>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</si>
  <si>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</si>
  <si>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</si>
  <si>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</si>
  <si>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</si>
  <si>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</si>
  <si>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</si>
  <si>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</si>
  <si>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</si>
  <si>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</si>
  <si>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</si>
  <si>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</si>
  <si>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</si>
  <si>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</si>
  <si>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</si>
  <si>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</si>
  <si>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</si>
  <si>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</si>
  <si>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</si>
  <si>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</si>
  <si>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</si>
  <si>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</si>
  <si>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</si>
  <si>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</si>
  <si>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</si>
  <si>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</si>
  <si>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</si>
  <si>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</si>
  <si>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</si>
  <si>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</si>
  <si>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</si>
  <si>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</si>
  <si>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</si>
  <si>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</si>
  <si>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</si>
  <si>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</si>
  <si>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</si>
  <si>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</si>
  <si>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</si>
  <si>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</si>
  <si>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</si>
  <si>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</si>
  <si>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</si>
  <si>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</si>
  <si>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</si>
  <si>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</si>
  <si>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</si>
  <si>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</si>
  <si>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</si>
  <si>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</si>
  <si>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</si>
  <si>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</si>
  <si>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</si>
  <si>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</si>
  <si>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</si>
  <si>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</si>
  <si>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</si>
  <si>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</si>
  <si>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</si>
  <si>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</si>
  <si>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</si>
  <si>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</si>
  <si>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</si>
  <si>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</si>
  <si>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</si>
  <si>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</si>
  <si>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</si>
  <si>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</si>
  <si>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</si>
  <si>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</si>
  <si>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</si>
  <si>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</si>
  <si>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</si>
  <si>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</si>
  <si>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</si>
  <si>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</si>
  <si>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</si>
  <si>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</si>
  <si>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</si>
  <si>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</si>
  <si>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</si>
  <si>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</si>
  <si>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</si>
  <si>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</si>
  <si>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</si>
  <si>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</si>
  <si>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</si>
  <si>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</si>
  <si>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</si>
  <si>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</si>
  <si>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</si>
  <si>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</si>
  <si>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</si>
  <si>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</si>
  <si>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</si>
  <si>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</si>
  <si>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</si>
  <si>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</si>
  <si>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</si>
  <si>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</si>
  <si>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</si>
  <si>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</si>
  <si>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</si>
  <si>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</si>
  <si>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</si>
  <si>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</si>
  <si>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</si>
  <si>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</si>
  <si>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</si>
  <si>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</si>
  <si>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</si>
  <si>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</si>
  <si>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</si>
  <si>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</si>
  <si>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</si>
  <si>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</si>
  <si>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</si>
  <si>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</si>
  <si>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</si>
  <si>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</si>
  <si>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</si>
  <si>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</si>
  <si>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</si>
  <si>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</si>
  <si>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</si>
  <si>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</si>
  <si>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</si>
  <si>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</si>
  <si>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</si>
  <si>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</si>
  <si>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</si>
  <si>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</si>
  <si>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</si>
  <si>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</si>
  <si>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</si>
  <si>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</si>
  <si>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</si>
  <si>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</si>
  <si>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</si>
  <si>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</si>
  <si>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</si>
  <si>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</si>
  <si>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</si>
  <si>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</si>
  <si>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</si>
  <si>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</si>
  <si>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</si>
  <si>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</si>
  <si>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</si>
  <si>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</si>
  <si>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</si>
  <si>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</si>
  <si>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</si>
  <si>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</si>
  <si>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</si>
  <si>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</si>
  <si>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</si>
  <si>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</si>
  <si>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</si>
  <si>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</si>
  <si>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</si>
  <si>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</si>
  <si>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</si>
  <si>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</si>
  <si>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</si>
  <si>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</si>
  <si>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</si>
  <si>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</si>
  <si>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</si>
  <si>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</si>
  <si>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</si>
  <si>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</si>
  <si>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</si>
  <si>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</si>
  <si>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</si>
  <si>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</si>
  <si>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</si>
  <si>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</si>
  <si>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</si>
  <si>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</si>
  <si>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</si>
  <si>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</si>
  <si>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</si>
  <si>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</si>
  <si>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</si>
  <si>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</si>
  <si>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</si>
  <si>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</si>
  <si>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</si>
  <si>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</si>
  <si>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</si>
  <si>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</si>
  <si>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</si>
  <si>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</si>
  <si>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</si>
  <si>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</si>
  <si>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</si>
  <si>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</si>
  <si>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</si>
  <si>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</si>
  <si>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</si>
  <si>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</si>
  <si>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</si>
  <si>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</si>
  <si>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</si>
  <si>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</si>
  <si>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</si>
  <si>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</si>
  <si>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</si>
  <si>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</si>
  <si>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</si>
  <si>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</si>
  <si>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</si>
  <si>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</si>
  <si>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</si>
  <si>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</si>
  <si>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</si>
  <si>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</si>
  <si>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</si>
  <si>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</si>
  <si>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</si>
  <si>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</si>
  <si>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</si>
  <si>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</si>
  <si>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</si>
  <si>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</si>
  <si>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</si>
  <si>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</si>
  <si>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</si>
  <si>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</si>
  <si>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</si>
  <si>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</si>
  <si>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</si>
  <si>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</si>
  <si>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</si>
  <si>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</si>
  <si>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</si>
  <si>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</si>
  <si>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</si>
  <si>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</si>
  <si>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</si>
  <si>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</si>
  <si>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</si>
  <si>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</si>
  <si>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</si>
  <si>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</si>
  <si>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</si>
  <si>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</si>
  <si>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</si>
  <si>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</si>
  <si>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</si>
  <si>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</si>
  <si>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</si>
  <si>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</si>
  <si>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</si>
  <si>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</si>
  <si>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</si>
  <si>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</si>
  <si>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</si>
  <si>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</si>
  <si>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</si>
  <si>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</si>
  <si>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</si>
  <si>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</si>
  <si>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</si>
  <si>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</si>
  <si>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</si>
  <si>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</si>
  <si>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</si>
  <si>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</si>
  <si>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</si>
  <si>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</si>
  <si>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</si>
  <si>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</si>
  <si>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</si>
  <si>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</si>
  <si>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</si>
  <si>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</si>
  <si>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</si>
  <si>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</si>
  <si>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</si>
  <si>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</si>
  <si>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</si>
  <si>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</si>
  <si>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</si>
  <si>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</si>
  <si>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</si>
  <si>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</si>
  <si>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</si>
  <si>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</si>
  <si>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</si>
  <si>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</si>
  <si>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</si>
  <si>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</si>
  <si>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</si>
  <si>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</si>
  <si>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</si>
  <si>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</si>
  <si>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</si>
  <si>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</si>
  <si>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</si>
  <si>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</si>
  <si>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</si>
  <si>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</si>
  <si>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</si>
  <si>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</si>
  <si>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</si>
  <si>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</si>
  <si>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</si>
  <si>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</si>
  <si>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</si>
  <si>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</si>
  <si>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</si>
  <si>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</si>
  <si>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</si>
  <si>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</si>
  <si>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</si>
  <si>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</si>
  <si>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</si>
  <si>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</si>
  <si>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</si>
  <si>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</si>
  <si>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</si>
  <si>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</si>
  <si>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</si>
  <si>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</si>
  <si>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</si>
  <si>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</si>
  <si>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</si>
  <si>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</si>
  <si>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</si>
  <si>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</si>
  <si>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</si>
  <si>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</si>
  <si>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</si>
  <si>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</si>
  <si>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</si>
  <si>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</si>
  <si>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</si>
  <si>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</si>
  <si>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</si>
  <si>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</si>
  <si>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</si>
  <si>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</si>
  <si>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</si>
  <si>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</si>
  <si>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</si>
  <si>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</si>
  <si>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</si>
  <si>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</si>
  <si>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</si>
  <si>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</si>
  <si>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</si>
  <si>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</si>
  <si>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</si>
  <si>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</si>
  <si>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</si>
  <si>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</si>
  <si>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</si>
  <si>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</si>
  <si>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</si>
  <si>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</si>
  <si>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</si>
  <si>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</si>
  <si>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</si>
  <si>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</si>
  <si>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</si>
  <si>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</si>
  <si>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</si>
  <si>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</si>
  <si>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</si>
  <si>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</si>
  <si>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</si>
  <si>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</si>
  <si>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</si>
  <si>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</si>
  <si>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</si>
  <si>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</si>
  <si>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</si>
  <si>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</si>
  <si>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</si>
  <si>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</si>
  <si>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</si>
  <si>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</si>
  <si>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</si>
  <si>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</si>
  <si>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</si>
  <si>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</si>
  <si>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</si>
  <si>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</si>
  <si>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</si>
  <si>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</si>
  <si>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</si>
  <si>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</si>
  <si>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</si>
  <si>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</si>
  <si>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</si>
  <si>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</si>
  <si>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</si>
  <si>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</si>
  <si>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</si>
  <si>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</si>
  <si>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</si>
  <si>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</si>
  <si>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</si>
  <si>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</si>
  <si>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</si>
  <si>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</si>
  <si>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</si>
  <si>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</si>
  <si>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</si>
  <si>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</si>
  <si>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</si>
  <si>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</si>
  <si>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</si>
  <si>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</si>
  <si>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</si>
  <si>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</si>
  <si>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</si>
  <si>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</si>
  <si>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</si>
  <si>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</si>
  <si>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</si>
  <si>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</si>
  <si>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</si>
  <si>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</si>
  <si>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</si>
  <si>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</si>
  <si>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</si>
  <si>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</si>
  <si>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</si>
  <si>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</si>
  <si>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</si>
  <si>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</si>
  <si>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</si>
  <si>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</si>
  <si>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</si>
  <si>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</si>
  <si>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</si>
  <si>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</si>
  <si>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</si>
  <si>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</si>
  <si>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</si>
  <si>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</si>
  <si>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</si>
  <si>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</si>
  <si>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</si>
  <si>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</si>
  <si>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</si>
  <si>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</si>
  <si>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</si>
  <si>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</si>
  <si>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</si>
  <si>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</si>
  <si>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</si>
  <si>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</si>
  <si>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</si>
  <si>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</si>
  <si>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</si>
  <si>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</si>
  <si>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</si>
  <si>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</si>
  <si>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</si>
  <si>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</si>
  <si>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</si>
  <si>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</si>
  <si>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</si>
  <si>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</si>
  <si>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</si>
  <si>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</si>
  <si>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</si>
  <si>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</si>
  <si>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</si>
  <si>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</si>
  <si>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</si>
  <si>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</si>
  <si>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</si>
  <si>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</si>
  <si>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</si>
  <si>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</si>
  <si>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</si>
  <si>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</si>
  <si>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</si>
  <si>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</si>
  <si>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</si>
  <si>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</si>
  <si>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</si>
  <si>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</si>
  <si>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</si>
  <si>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</si>
  <si>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</si>
  <si>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</si>
  <si>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</si>
  <si>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</si>
  <si>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</si>
  <si>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</si>
  <si>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</si>
  <si>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</si>
  <si>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</si>
  <si>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</si>
  <si>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</si>
  <si>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</si>
  <si>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</si>
  <si>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</si>
  <si>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</si>
  <si>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</si>
  <si>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</si>
  <si>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</si>
  <si>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</si>
  <si>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</si>
  <si>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</si>
  <si>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</si>
  <si>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</si>
  <si>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</si>
  <si>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</si>
  <si>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</si>
  <si>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</si>
  <si>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</si>
  <si>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</si>
  <si>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</si>
  <si>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</si>
  <si>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</si>
  <si>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</si>
  <si>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</si>
  <si>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</si>
  <si>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</si>
  <si>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</si>
  <si>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</si>
  <si>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</si>
  <si>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</si>
  <si>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</si>
  <si>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</si>
  <si>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</si>
  <si>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</si>
  <si>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</si>
  <si>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</si>
  <si>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</si>
  <si>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</si>
  <si>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</si>
  <si>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</si>
  <si>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</si>
  <si>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</si>
  <si>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</si>
  <si>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</si>
  <si>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</si>
  <si>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</si>
  <si>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</si>
  <si>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</si>
  <si>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</si>
  <si>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</si>
  <si>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</si>
  <si>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</si>
  <si>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</si>
  <si>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</si>
  <si>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</si>
  <si>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</si>
  <si>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</si>
  <si>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</si>
  <si>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</si>
  <si>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</si>
  <si>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</si>
  <si>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</si>
  <si>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</si>
  <si>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</si>
  <si>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</si>
  <si>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</si>
  <si>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</si>
  <si>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</si>
  <si>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</si>
  <si>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</si>
  <si>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</si>
  <si>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</si>
  <si>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</si>
  <si>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</si>
  <si>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</si>
  <si>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</si>
  <si>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</si>
  <si>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</si>
  <si>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</si>
  <si>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</si>
  <si>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</si>
  <si>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</si>
  <si>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</si>
  <si>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</si>
  <si>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</si>
  <si>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</si>
  <si>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</si>
  <si>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</si>
  <si>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</si>
  <si>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</si>
  <si>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</si>
  <si>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</si>
  <si>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</si>
  <si>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</si>
  <si>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</si>
  <si>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</si>
  <si>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</si>
  <si>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</si>
  <si>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</si>
  <si>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</si>
  <si>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</si>
  <si>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</si>
  <si>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</si>
  <si>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</si>
  <si>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</si>
  <si>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</si>
  <si>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</si>
  <si>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</si>
  <si>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</si>
  <si>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</si>
  <si>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</si>
  <si>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</si>
  <si>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</si>
  <si>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</si>
  <si>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</si>
  <si>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</si>
  <si>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</si>
  <si>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</si>
  <si>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</si>
  <si>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</si>
  <si>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</si>
  <si>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</si>
  <si>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</si>
  <si>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</si>
  <si>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</si>
  <si>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</si>
  <si>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</si>
  <si>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</si>
  <si>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</si>
  <si>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</si>
  <si>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</si>
  <si>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</si>
  <si>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</si>
  <si>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</si>
  <si>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</si>
  <si>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</si>
  <si>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</si>
  <si>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</si>
  <si>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</si>
  <si>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</si>
  <si>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</si>
  <si>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</si>
  <si>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</si>
  <si>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</si>
  <si>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</si>
  <si>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</si>
  <si>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</si>
  <si>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</si>
  <si>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</si>
  <si>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</si>
  <si>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</si>
  <si>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</si>
  <si>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</si>
  <si>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</si>
  <si>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</si>
  <si>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</si>
  <si>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</si>
  <si>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</si>
  <si>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</si>
  <si>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</si>
  <si>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</si>
  <si>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</si>
  <si>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</si>
  <si>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</si>
  <si>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</si>
  <si>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</si>
  <si>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</si>
  <si>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</si>
  <si>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</si>
  <si>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</si>
  <si>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</si>
  <si>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</si>
  <si>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</si>
  <si>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</si>
  <si>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</si>
  <si>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</si>
  <si>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</si>
  <si>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</si>
  <si>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</si>
  <si>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</si>
  <si>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</si>
  <si>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</si>
  <si>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</si>
  <si>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</si>
  <si>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</si>
  <si>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</si>
  <si>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</si>
  <si>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</si>
  <si>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</si>
  <si>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</si>
  <si>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</si>
  <si>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</si>
  <si>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</si>
  <si>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</si>
  <si>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</si>
  <si>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</si>
  <si>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</si>
  <si>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</si>
  <si>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</si>
  <si>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</si>
  <si>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</si>
  <si>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</si>
  <si>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</si>
  <si>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</si>
  <si>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</si>
  <si>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</si>
  <si>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</si>
  <si>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</si>
  <si>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</si>
  <si>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</si>
  <si>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</si>
  <si>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</si>
  <si>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</si>
  <si>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</si>
  <si>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</si>
  <si>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</si>
  <si>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</si>
  <si>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</si>
  <si>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</si>
  <si>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</si>
  <si>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</si>
  <si>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</si>
  <si>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</si>
  <si>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</si>
  <si>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</si>
  <si>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</si>
  <si>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</si>
  <si>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</si>
  <si>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</si>
  <si>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</si>
  <si>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</si>
  <si>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</si>
  <si>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</si>
  <si>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</si>
  <si>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</si>
  <si>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</si>
  <si>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</si>
  <si>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</si>
  <si>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</si>
  <si>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</si>
  <si>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</si>
  <si>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</si>
  <si>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</si>
  <si>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</si>
  <si>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</si>
  <si>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</si>
  <si>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</si>
  <si>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</si>
  <si>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</si>
  <si>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</si>
  <si>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</si>
  <si>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</si>
  <si>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</si>
  <si>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</si>
  <si>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</si>
  <si>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</si>
  <si>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</si>
  <si>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</si>
  <si>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</si>
  <si>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</si>
  <si>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</si>
  <si>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</si>
  <si>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</si>
  <si>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</si>
  <si>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</si>
  <si>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</si>
  <si>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</si>
  <si>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</si>
  <si>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</si>
  <si>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</si>
  <si>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</si>
  <si>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</si>
  <si>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</si>
  <si>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</si>
  <si>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</si>
  <si>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</si>
  <si>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</si>
  <si>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</si>
  <si>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</si>
  <si>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</si>
  <si>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</si>
  <si>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</si>
  <si>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</si>
  <si>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</si>
  <si>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</si>
  <si>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</si>
  <si>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</si>
  <si>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</si>
  <si>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</si>
  <si>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</si>
  <si>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</si>
  <si>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</si>
  <si>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</si>
  <si>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</si>
  <si>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</si>
  <si>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</si>
  <si>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</si>
  <si>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</si>
  <si>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</si>
  <si>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</si>
  <si>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</si>
  <si>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</si>
  <si>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</si>
  <si>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</si>
  <si>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</si>
  <si>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</si>
  <si>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</si>
  <si>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</si>
  <si>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</si>
  <si>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</si>
  <si>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</si>
  <si>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</si>
  <si>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</si>
  <si>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</si>
  <si>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</si>
  <si>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</si>
  <si>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</si>
  <si>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</si>
  <si>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</si>
  <si>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</si>
  <si>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</si>
  <si>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</si>
  <si>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</si>
  <si>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</si>
  <si>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</si>
  <si>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</si>
  <si>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</si>
  <si>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</si>
  <si>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</si>
  <si>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</si>
  <si>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</si>
  <si>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</si>
  <si>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</si>
  <si>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</si>
  <si>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</si>
  <si>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</si>
  <si>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</si>
  <si>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</si>
  <si>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</si>
  <si>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</si>
  <si>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</si>
  <si>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</si>
  <si>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</si>
  <si>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</si>
  <si>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</si>
  <si>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</si>
  <si>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</si>
  <si>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</si>
  <si>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</si>
  <si>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</si>
  <si>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</si>
  <si>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</si>
  <si>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</si>
  <si>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</si>
  <si>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</si>
  <si>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</si>
  <si>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</si>
  <si>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</si>
  <si>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</si>
  <si>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</si>
  <si>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</si>
  <si>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</si>
  <si>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</si>
  <si>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</si>
  <si>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</si>
  <si>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</si>
  <si>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</si>
  <si>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</si>
  <si>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</si>
  <si>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</si>
  <si>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</si>
  <si>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</si>
  <si>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</si>
  <si>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</si>
  <si>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</si>
  <si>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</si>
  <si>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</si>
  <si>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</si>
  <si>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</si>
  <si>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</si>
  <si>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</si>
  <si>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</si>
  <si>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</si>
  <si>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</si>
  <si>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</si>
  <si>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</si>
  <si>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</si>
  <si>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</si>
  <si>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</si>
  <si>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</si>
  <si>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</si>
  <si>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</si>
  <si>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</si>
  <si>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</si>
  <si>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</si>
  <si>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</si>
  <si>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</si>
  <si>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</si>
  <si>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</si>
  <si>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</si>
  <si>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</si>
  <si>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</si>
  <si>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</si>
  <si>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</si>
  <si>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</si>
  <si>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</si>
  <si>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</si>
  <si>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</si>
  <si>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</si>
  <si>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</si>
  <si>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</si>
  <si>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</si>
  <si>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</si>
  <si>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</si>
  <si>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</si>
  <si>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</si>
  <si>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</si>
  <si>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</si>
  <si>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</si>
  <si>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</si>
  <si>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</si>
  <si>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</si>
  <si>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</si>
  <si>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</si>
  <si>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</si>
  <si>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</si>
  <si>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</si>
  <si>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</si>
  <si>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</si>
  <si>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</si>
  <si>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</si>
  <si>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</si>
  <si>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</si>
  <si>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</si>
  <si>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</si>
  <si>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</si>
  <si>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</si>
  <si>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</si>
  <si>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</si>
  <si>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</si>
  <si>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</si>
  <si>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</si>
  <si>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</si>
  <si>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</si>
  <si>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</si>
  <si>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</si>
  <si>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</si>
  <si>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</si>
  <si>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</si>
  <si>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</si>
  <si>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</si>
  <si>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</si>
  <si>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</si>
  <si>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</si>
  <si>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</si>
  <si>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</si>
  <si>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</si>
  <si>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</si>
  <si>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</si>
  <si>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</si>
  <si>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</si>
  <si>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</si>
  <si>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</si>
  <si>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</si>
  <si>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</si>
  <si>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</si>
  <si>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</si>
  <si>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</si>
  <si>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</si>
  <si>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</si>
  <si>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</si>
  <si>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</si>
  <si>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</si>
  <si>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</si>
  <si>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</si>
  <si>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</si>
  <si>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</si>
  <si>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</si>
  <si>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</si>
  <si>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</si>
  <si>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</si>
  <si>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</si>
  <si>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</si>
  <si>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</si>
  <si>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</si>
  <si>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</si>
  <si>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</si>
  <si>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</si>
  <si>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</si>
  <si>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</si>
  <si>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</si>
  <si>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</si>
  <si>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</si>
  <si>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</si>
  <si>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</si>
  <si>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</si>
  <si>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</si>
  <si>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</si>
  <si>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</si>
  <si>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</si>
  <si>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</si>
  <si>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</si>
  <si>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</si>
  <si>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</si>
  <si>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</si>
  <si>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</si>
  <si>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</si>
  <si>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</si>
  <si>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</si>
  <si>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</si>
  <si>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</si>
  <si>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</si>
  <si>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</si>
  <si>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</si>
  <si>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</si>
  <si>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</si>
  <si>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</si>
  <si>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</si>
  <si>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</si>
  <si>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</si>
  <si>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</si>
  <si>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</si>
  <si>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</si>
  <si>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</si>
  <si>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</si>
  <si>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</si>
  <si>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</si>
  <si>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</si>
  <si>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</si>
  <si>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</si>
  <si>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</si>
  <si>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</si>
  <si>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</si>
  <si>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</si>
  <si>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</si>
  <si>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</si>
  <si>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</si>
  <si>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</si>
  <si>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</si>
  <si>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</si>
  <si>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</si>
  <si>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</si>
  <si>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</si>
  <si>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</si>
  <si>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</si>
  <si>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</si>
  <si>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</si>
  <si>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</si>
  <si>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</si>
  <si>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</si>
  <si>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</si>
  <si>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</si>
  <si>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</si>
  <si>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</si>
  <si>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</si>
  <si>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</si>
  <si>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</si>
  <si>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</si>
  <si>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</si>
  <si>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</si>
  <si>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</si>
  <si>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</si>
  <si>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</si>
  <si>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</si>
  <si>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</si>
  <si>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</si>
  <si>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</si>
  <si>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</si>
  <si>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</si>
  <si>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</si>
  <si>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</si>
  <si>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</si>
  <si>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</si>
  <si>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</si>
  <si>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</si>
  <si>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</si>
  <si>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</si>
  <si>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</si>
  <si>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</si>
  <si>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</si>
  <si>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</si>
  <si>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</si>
  <si>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</si>
  <si>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</si>
  <si>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</si>
  <si>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</si>
  <si>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</si>
  <si>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</si>
  <si>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</si>
  <si>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</si>
  <si>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</si>
  <si>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</si>
  <si>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</si>
  <si>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</si>
  <si>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</si>
  <si>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</si>
  <si>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</si>
  <si>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</si>
  <si>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</si>
  <si>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</si>
  <si>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</si>
  <si>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</si>
  <si>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</si>
  <si>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</si>
  <si>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</si>
  <si>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</si>
  <si>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</si>
  <si>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</si>
  <si>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</si>
  <si>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</si>
  <si>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</si>
  <si>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</si>
  <si>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</si>
  <si>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</si>
  <si>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</si>
  <si>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</si>
  <si>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</si>
  <si>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</si>
  <si>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</si>
  <si>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</si>
  <si>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</si>
  <si>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</si>
  <si>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</si>
  <si>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</si>
  <si>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</si>
  <si>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</si>
  <si>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</si>
  <si>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</si>
  <si>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</si>
  <si>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</si>
  <si>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</si>
  <si>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</si>
  <si>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</si>
  <si>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</si>
  <si>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</si>
  <si>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</si>
  <si>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</si>
  <si>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</si>
  <si>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</si>
  <si>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</si>
  <si>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</si>
  <si>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</si>
  <si>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</si>
  <si>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</si>
  <si>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</si>
  <si>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</si>
  <si>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</si>
  <si>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</si>
  <si>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</si>
  <si>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</si>
  <si>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</si>
  <si>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</si>
  <si>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</si>
  <si>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</si>
  <si>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</si>
  <si>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</si>
  <si>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</si>
  <si>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</si>
  <si>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</si>
  <si>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</si>
  <si>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</si>
  <si>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</si>
  <si>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</si>
  <si>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</si>
  <si>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</si>
  <si>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</si>
  <si>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</si>
  <si>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</si>
  <si>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</si>
  <si>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</si>
  <si>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</si>
  <si>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</si>
  <si>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</si>
  <si>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</si>
  <si>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</si>
  <si>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</si>
  <si>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</si>
  <si>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</si>
  <si>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</si>
  <si>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</si>
  <si>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</si>
  <si>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</si>
  <si>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</si>
  <si>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</si>
  <si>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</si>
  <si>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</si>
  <si>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</si>
  <si>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</si>
  <si>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</si>
  <si>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</si>
  <si>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</si>
  <si>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</si>
  <si>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</si>
  <si>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</si>
  <si>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</si>
  <si>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</si>
  <si>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</si>
  <si>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</si>
  <si>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</si>
  <si>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</si>
  <si>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</si>
  <si>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</si>
  <si>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</si>
  <si>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</si>
  <si>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</si>
  <si>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</si>
  <si>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</si>
  <si>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</si>
  <si>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</si>
  <si>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</si>
  <si>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</si>
  <si>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</si>
  <si>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</si>
  <si>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</si>
  <si>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</si>
  <si>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</si>
  <si>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</si>
  <si>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</si>
  <si>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</si>
  <si>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</si>
  <si>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</si>
  <si>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</si>
  <si>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</si>
  <si>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</si>
  <si>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</si>
  <si>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</si>
  <si>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</si>
  <si>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</si>
  <si>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</si>
  <si>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</si>
  <si>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</si>
  <si>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</si>
  <si>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</si>
  <si>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</si>
  <si>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</si>
  <si>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</si>
  <si>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</si>
  <si>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</si>
  <si>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</si>
  <si>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</si>
  <si>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</si>
  <si>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</si>
  <si>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</si>
  <si>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</si>
  <si>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</si>
  <si>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</si>
  <si>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</si>
  <si>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</si>
  <si>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</si>
  <si>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</si>
  <si>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</si>
  <si>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</si>
  <si>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</si>
  <si>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</si>
  <si>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</si>
  <si>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</si>
  <si>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</si>
  <si>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</si>
  <si>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</si>
  <si>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</si>
  <si>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</si>
  <si>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</si>
  <si>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</si>
  <si>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</si>
  <si>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</si>
  <si>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</si>
  <si>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</si>
  <si>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</si>
  <si>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</si>
  <si>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</si>
  <si>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</si>
  <si>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</si>
  <si>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</si>
  <si>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</si>
  <si>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</si>
  <si>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</si>
  <si>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</si>
  <si>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</si>
  <si>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</si>
  <si>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</si>
  <si>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</si>
  <si>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</si>
  <si>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</si>
  <si>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</si>
  <si>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</si>
  <si>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</si>
  <si>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</si>
  <si>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</si>
  <si>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</si>
  <si>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</si>
  <si>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</si>
  <si>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</si>
  <si>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</si>
  <si>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</si>
  <si>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</si>
  <si>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</si>
  <si>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</si>
  <si>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</si>
  <si>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</si>
  <si>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</si>
  <si>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</si>
  <si>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</si>
  <si>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</si>
  <si>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</si>
  <si>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</si>
  <si>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</si>
  <si>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</si>
  <si>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</si>
  <si>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</si>
  <si>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</si>
  <si>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</si>
  <si>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</si>
  <si>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</si>
  <si>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</si>
  <si>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</si>
  <si>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</si>
  <si>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</si>
  <si>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</si>
  <si>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</si>
  <si>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</si>
  <si>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</si>
  <si>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</si>
  <si>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</si>
  <si>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</si>
  <si>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</si>
  <si>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</si>
  <si>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</si>
  <si>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</si>
  <si>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</si>
  <si>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</si>
  <si>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</si>
  <si>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</si>
  <si>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</si>
  <si>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</si>
  <si>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</si>
  <si>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</si>
  <si>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</si>
  <si>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</si>
  <si>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</si>
  <si>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</si>
  <si>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</si>
  <si>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</si>
  <si>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</si>
  <si>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</si>
  <si>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</si>
  <si>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</si>
  <si>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</si>
  <si>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</si>
  <si>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</si>
  <si>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</si>
  <si>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</si>
  <si>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</si>
  <si>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</si>
  <si>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</si>
  <si>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</si>
  <si>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</si>
  <si>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</si>
  <si>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</si>
  <si>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</si>
  <si>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</si>
  <si>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</si>
  <si>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</si>
  <si>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</si>
  <si>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</si>
  <si>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</si>
  <si>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</si>
  <si>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</si>
  <si>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</si>
  <si>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</si>
  <si>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</si>
  <si>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</si>
  <si>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</si>
  <si>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</si>
  <si>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</si>
  <si>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</si>
  <si>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</si>
  <si>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</si>
  <si>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</si>
  <si>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</si>
  <si>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</si>
  <si>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</si>
  <si>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</si>
  <si>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</si>
  <si>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</si>
  <si>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</si>
  <si>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</si>
  <si>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</si>
  <si>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</si>
  <si>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</si>
  <si>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</si>
  <si>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</si>
  <si>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</si>
  <si>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</si>
  <si>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</si>
  <si>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</si>
  <si>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</si>
  <si>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</si>
  <si>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</si>
  <si>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</si>
  <si>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</si>
  <si>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</si>
  <si>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</si>
  <si>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</si>
  <si>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</si>
  <si>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</si>
  <si>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</si>
  <si>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</si>
  <si>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</si>
  <si>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</si>
  <si>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</si>
  <si>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</si>
  <si>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</si>
  <si>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</si>
  <si>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</si>
  <si>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</si>
  <si>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</si>
  <si>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</si>
  <si>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</si>
  <si>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</si>
  <si>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</si>
  <si>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</si>
  <si>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</si>
  <si>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</si>
  <si>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</si>
  <si>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</si>
  <si>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</si>
  <si>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</si>
  <si>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</si>
  <si>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</si>
  <si>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</si>
  <si>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</si>
  <si>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</si>
  <si>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</si>
  <si>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</si>
  <si>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</si>
  <si>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</si>
  <si>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</si>
  <si>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</si>
  <si>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</si>
  <si>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</si>
  <si>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</si>
  <si>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</si>
  <si>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</si>
  <si>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</si>
  <si>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</si>
  <si>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</si>
  <si>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</si>
  <si>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</si>
  <si>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</si>
  <si>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</si>
  <si>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</si>
  <si>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</si>
  <si>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</si>
  <si>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</si>
  <si>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</si>
  <si>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</si>
  <si>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</si>
  <si>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</si>
  <si>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</si>
  <si>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</si>
  <si>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</si>
  <si>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</si>
  <si>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</si>
  <si>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</si>
  <si>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</si>
  <si>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</si>
  <si>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</si>
  <si>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</si>
  <si>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</si>
  <si>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</si>
  <si>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</si>
  <si>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</si>
  <si>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</si>
  <si>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</si>
  <si>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</si>
  <si>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</si>
  <si>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</si>
  <si>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</si>
  <si>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</si>
  <si>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</si>
  <si>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</si>
  <si>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</si>
  <si>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</si>
  <si>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</si>
  <si>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</si>
  <si>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</si>
  <si>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</si>
  <si>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</si>
  <si>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</si>
  <si>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</si>
  <si>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</si>
  <si>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</si>
  <si>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</si>
  <si>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</si>
  <si>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</si>
  <si>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</si>
  <si>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</si>
  <si>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</si>
  <si>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</si>
  <si>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</si>
  <si>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</si>
  <si>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</si>
  <si>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</si>
  <si>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</si>
  <si>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</si>
  <si>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</si>
  <si>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</si>
  <si>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</si>
  <si>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</si>
  <si>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</si>
  <si>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</si>
  <si>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</si>
  <si>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</si>
  <si>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</si>
  <si>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</si>
  <si>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</si>
  <si>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</si>
  <si>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</si>
  <si>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</si>
  <si>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</si>
  <si>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</si>
  <si>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</si>
  <si>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</si>
  <si>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</si>
  <si>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</si>
  <si>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</si>
  <si>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</si>
  <si>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</si>
  <si>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</si>
  <si>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</si>
  <si>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</si>
  <si>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</si>
  <si>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</si>
  <si>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</si>
  <si>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</si>
  <si>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</si>
  <si>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</si>
  <si>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</si>
  <si>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</si>
  <si>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</si>
  <si>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</si>
  <si>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</si>
  <si>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</si>
  <si>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</si>
  <si>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</si>
  <si>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</si>
  <si>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</si>
  <si>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</si>
  <si>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</si>
  <si>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</si>
  <si>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</si>
  <si>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</si>
  <si>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</si>
  <si>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</si>
  <si>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</si>
  <si>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</si>
  <si>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</si>
  <si>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</si>
  <si>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</si>
  <si>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</si>
  <si>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</si>
  <si>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</si>
  <si>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</si>
  <si>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</si>
  <si>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</si>
  <si>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</si>
  <si>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</si>
  <si>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</si>
  <si>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</si>
  <si>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</si>
  <si>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</si>
  <si>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</si>
  <si>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</si>
  <si>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</si>
  <si>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</si>
  <si>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</si>
  <si>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</si>
  <si>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</si>
  <si>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</si>
  <si>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</si>
  <si>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</si>
  <si>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</si>
  <si>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</si>
  <si>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</si>
  <si>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</si>
  <si>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</si>
  <si>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</si>
  <si>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</si>
  <si>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</si>
  <si>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</si>
  <si>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</si>
  <si>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</si>
  <si>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</si>
  <si>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</si>
  <si>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</si>
  <si>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</si>
  <si>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</si>
  <si>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</si>
  <si>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</si>
  <si>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</si>
  <si>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</si>
  <si>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</si>
  <si>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</si>
  <si>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</si>
  <si>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</si>
  <si>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</si>
  <si>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</si>
  <si>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</si>
  <si>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</si>
  <si>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</si>
  <si>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</si>
  <si>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</si>
  <si>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</si>
  <si>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</si>
  <si>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</si>
  <si>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</si>
  <si>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</si>
  <si>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</si>
  <si>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</si>
  <si>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</si>
  <si>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</si>
  <si>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</si>
  <si>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</si>
  <si>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</si>
  <si>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</si>
  <si>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</si>
  <si>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</si>
  <si>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</si>
  <si>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</si>
  <si>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</si>
  <si>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</si>
  <si>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</si>
  <si>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</si>
  <si>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</si>
  <si>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</si>
  <si>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</si>
  <si>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</si>
  <si>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</si>
  <si>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</si>
  <si>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</si>
  <si>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</si>
  <si>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</si>
  <si>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</si>
  <si>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</si>
  <si>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</si>
  <si>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</si>
  <si>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</si>
  <si>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</si>
  <si>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</si>
  <si>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</si>
  <si>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</si>
  <si>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</si>
  <si>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</si>
  <si>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</si>
  <si>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</si>
  <si>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</si>
  <si>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</si>
  <si>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</si>
  <si>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</si>
  <si>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</si>
  <si>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</si>
  <si>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</si>
  <si>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</si>
  <si>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</si>
  <si>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</si>
  <si>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</si>
  <si>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</si>
  <si>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</si>
  <si>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</si>
  <si>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</si>
  <si>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</si>
  <si>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</si>
  <si>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</si>
  <si>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</si>
  <si>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</si>
  <si>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</si>
  <si>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</si>
  <si>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</si>
  <si>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</si>
  <si>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</si>
  <si>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</si>
  <si>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</si>
  <si>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</si>
  <si>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</si>
  <si>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</si>
  <si>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</si>
  <si>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</si>
  <si>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</si>
  <si>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</si>
  <si>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</si>
  <si>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</si>
  <si>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</si>
  <si>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</si>
  <si>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</si>
  <si>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</si>
  <si>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</si>
  <si>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</si>
  <si>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</si>
  <si>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</si>
  <si>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</si>
  <si>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</si>
  <si>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</si>
  <si>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</si>
  <si>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</si>
  <si>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</si>
  <si>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</si>
  <si>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</si>
  <si>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</si>
  <si>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</si>
  <si>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</si>
  <si>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</si>
  <si>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</si>
  <si>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</si>
  <si>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</si>
  <si>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</si>
  <si>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</si>
  <si>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</si>
  <si>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</si>
  <si>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</si>
  <si>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</si>
  <si>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</si>
  <si>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</si>
  <si>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</si>
  <si>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</si>
  <si>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</si>
  <si>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</si>
  <si>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</si>
  <si>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</si>
  <si>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</si>
  <si>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</si>
  <si>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</si>
  <si>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</si>
  <si>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</si>
  <si>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</si>
  <si>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</si>
  <si>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</si>
  <si>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</si>
  <si>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</si>
  <si>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</si>
  <si>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</si>
  <si>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</si>
  <si>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</si>
  <si>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</si>
  <si>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</si>
  <si>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</si>
  <si>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</si>
  <si>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</si>
  <si>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</si>
  <si>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</si>
  <si>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</si>
  <si>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</si>
  <si>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</si>
  <si>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</si>
  <si>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</si>
  <si>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</si>
  <si>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</si>
  <si>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</si>
  <si>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</si>
  <si>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</si>
  <si>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</si>
  <si>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</si>
  <si>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</si>
  <si>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</si>
  <si>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</si>
  <si>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</si>
  <si>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</si>
  <si>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</si>
  <si>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</si>
  <si>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</si>
  <si>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</si>
  <si>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</si>
  <si>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</si>
  <si>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</si>
  <si>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</si>
  <si>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</si>
  <si>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</si>
  <si>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</si>
  <si>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</si>
  <si>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</si>
  <si>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</si>
  <si>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</si>
  <si>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</si>
  <si>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</si>
  <si>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</si>
  <si>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</si>
  <si>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</si>
  <si>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</si>
  <si>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</si>
  <si>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</si>
  <si>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</si>
  <si>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</si>
  <si>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</si>
  <si>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</si>
  <si>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</si>
  <si>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</si>
  <si>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</si>
  <si>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</si>
  <si>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</si>
  <si>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</si>
  <si>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</si>
  <si>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</si>
  <si>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</si>
  <si>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</si>
  <si>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</si>
  <si>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</si>
  <si>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</si>
  <si>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</si>
  <si>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</si>
  <si>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</si>
  <si>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</si>
  <si>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</si>
  <si>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</si>
  <si>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</si>
  <si>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</si>
  <si>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</si>
  <si>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</si>
  <si>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</si>
  <si>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</si>
  <si>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</si>
  <si>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</si>
  <si>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</si>
  <si>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</si>
  <si>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</si>
  <si>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</si>
  <si>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</si>
  <si>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</si>
  <si>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</si>
  <si>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</si>
  <si>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</si>
  <si>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</si>
  <si>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</si>
  <si>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</si>
  <si>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</si>
  <si>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</si>
  <si>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</si>
  <si>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</si>
  <si>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</si>
  <si>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</si>
  <si>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</si>
  <si>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</si>
  <si>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</si>
  <si>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</si>
  <si>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</si>
  <si>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</si>
  <si>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</si>
  <si>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</si>
  <si>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</si>
  <si>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</si>
  <si>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</si>
  <si>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</si>
  <si>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</si>
  <si>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</si>
  <si>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</si>
  <si>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</si>
  <si>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</si>
  <si>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</si>
  <si>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</si>
  <si>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</si>
  <si>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</si>
  <si>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</si>
  <si>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</si>
  <si>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</si>
  <si>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</si>
  <si>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</si>
  <si>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</si>
  <si>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</si>
  <si>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</si>
  <si>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</si>
  <si>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</si>
  <si>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</si>
  <si>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</si>
  <si>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</si>
  <si>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</si>
  <si>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</si>
  <si>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</si>
  <si>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</si>
  <si>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</si>
  <si>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</si>
  <si>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</si>
  <si>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</si>
  <si>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</si>
  <si>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</si>
  <si>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</si>
  <si>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</si>
  <si>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</si>
  <si>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</si>
  <si>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</si>
  <si>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</si>
  <si>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</si>
  <si>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</si>
  <si>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</si>
  <si>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</si>
  <si>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</si>
  <si>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</si>
  <si>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</si>
  <si>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</si>
  <si>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</si>
  <si>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</si>
  <si>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</si>
  <si>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</si>
  <si>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</si>
  <si>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</si>
  <si>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</si>
  <si>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</si>
  <si>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</si>
  <si>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</si>
  <si>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</si>
  <si>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</si>
  <si>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</si>
  <si>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</si>
  <si>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</si>
  <si>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</si>
  <si>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</si>
  <si>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</si>
  <si>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</si>
  <si>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</si>
  <si>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</si>
  <si>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</si>
  <si>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</si>
  <si>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</si>
  <si>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</si>
  <si>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</si>
  <si>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</si>
  <si>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</si>
  <si>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</si>
  <si>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</si>
  <si>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</si>
  <si>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</si>
  <si>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</si>
  <si>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</si>
  <si>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</si>
  <si>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</si>
  <si>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</si>
  <si>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</si>
  <si>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</si>
  <si>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</si>
  <si>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</si>
  <si>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</si>
  <si>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</si>
  <si>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</si>
  <si>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</si>
  <si>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</si>
  <si>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</si>
  <si>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</si>
  <si>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</si>
  <si>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</si>
  <si>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</si>
  <si>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</si>
  <si>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</si>
  <si>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</si>
  <si>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</si>
  <si>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</si>
  <si>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</si>
  <si>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</si>
  <si>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</si>
  <si>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</si>
  <si>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</si>
  <si>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</si>
  <si>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</si>
  <si>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</si>
  <si>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</si>
  <si>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</si>
  <si>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</si>
  <si>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</si>
  <si>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</si>
  <si>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</si>
  <si>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</si>
  <si>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</si>
  <si>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</si>
  <si>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</si>
  <si>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</si>
  <si>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</si>
  <si>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</si>
  <si>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</si>
  <si>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</si>
  <si>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</si>
  <si>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</si>
  <si>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</si>
  <si>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</si>
  <si>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</si>
  <si>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</si>
  <si>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</si>
  <si>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</si>
  <si>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</si>
  <si>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</si>
  <si>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</si>
  <si>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</si>
  <si>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</si>
  <si>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</si>
  <si>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</si>
  <si>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</si>
  <si>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</si>
  <si>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</si>
  <si>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</si>
  <si>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</si>
  <si>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</si>
  <si>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</si>
  <si>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</si>
  <si>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</si>
  <si>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</si>
  <si>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</si>
  <si>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</si>
  <si>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</si>
  <si>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</si>
  <si>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</si>
  <si>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</si>
  <si>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</si>
  <si>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</si>
  <si>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</si>
  <si>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</si>
  <si>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</si>
  <si>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</si>
  <si>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</si>
  <si>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</si>
  <si>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</si>
  <si>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</si>
  <si>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</si>
  <si>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</si>
  <si>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</si>
  <si>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</si>
  <si>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</si>
  <si>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</si>
  <si>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</si>
  <si>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</si>
  <si>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</si>
  <si>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</si>
  <si>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</si>
  <si>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</si>
  <si>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</si>
  <si>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</si>
  <si>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</si>
  <si>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</si>
  <si>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</si>
  <si>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</si>
  <si>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</si>
  <si>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</si>
  <si>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</si>
  <si>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</si>
  <si>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</si>
  <si>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</si>
  <si>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</si>
  <si>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</si>
  <si>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</si>
  <si>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</si>
  <si>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</si>
  <si>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</si>
  <si>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</si>
  <si>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</si>
  <si>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</si>
  <si>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</si>
  <si>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</si>
  <si>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</si>
  <si>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</si>
  <si>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</si>
  <si>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</si>
  <si>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</si>
  <si>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</si>
  <si>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</si>
  <si>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</si>
  <si>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</si>
  <si>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</si>
  <si>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</si>
  <si>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</si>
  <si>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</si>
  <si>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</si>
  <si>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</si>
  <si>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</si>
  <si>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</si>
  <si>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</si>
  <si>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</si>
  <si>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</si>
  <si>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</si>
  <si>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</si>
  <si>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</si>
  <si>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</si>
  <si>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</si>
  <si>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</si>
  <si>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</si>
  <si>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</si>
  <si>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</si>
  <si>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</si>
  <si>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</si>
  <si>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</si>
  <si>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</si>
  <si>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</si>
  <si>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</si>
  <si>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</si>
  <si>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</si>
  <si>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</si>
  <si>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</si>
  <si>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</si>
  <si>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</si>
  <si>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</si>
  <si>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</si>
  <si>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</si>
  <si>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</si>
  <si>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</si>
  <si>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</si>
  <si>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</si>
  <si>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</si>
  <si>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</si>
  <si>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</si>
  <si>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</si>
  <si>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</si>
  <si>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</si>
  <si>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</si>
  <si>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</si>
  <si>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</si>
  <si>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</si>
  <si>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</si>
  <si>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</si>
  <si>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</si>
  <si>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</si>
  <si>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</si>
  <si>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</si>
  <si>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</si>
  <si>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</si>
  <si>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</si>
  <si>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</si>
  <si>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</si>
  <si>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</si>
  <si>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</si>
  <si>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</si>
  <si>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</si>
  <si>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</si>
  <si>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</si>
  <si>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</si>
  <si>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</si>
  <si>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</si>
  <si>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</si>
  <si>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</si>
  <si>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</si>
  <si>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</si>
  <si>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</si>
  <si>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</si>
  <si>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</si>
  <si>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</si>
  <si>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</si>
  <si>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</si>
  <si>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</si>
  <si>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</si>
  <si>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</si>
  <si>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</si>
  <si>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</si>
  <si>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</si>
  <si>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</si>
  <si>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</si>
  <si>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</si>
  <si>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</si>
  <si>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</si>
  <si>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</si>
  <si>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</si>
  <si>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</si>
  <si>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</si>
  <si>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</si>
  <si>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</si>
  <si>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</si>
  <si>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</si>
  <si>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</si>
  <si>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</si>
  <si>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</si>
  <si>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</si>
  <si>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</si>
  <si>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</si>
  <si>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</si>
  <si>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</si>
  <si>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</si>
  <si>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</si>
  <si>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</si>
  <si>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</si>
  <si>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</si>
  <si>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</si>
  <si>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</si>
  <si>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</si>
  <si>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</si>
  <si>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</si>
  <si>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</si>
  <si>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</si>
  <si>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</si>
  <si>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</si>
  <si>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</si>
  <si>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</si>
  <si>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</si>
  <si>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</si>
  <si>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</si>
  <si>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</si>
  <si>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</si>
  <si>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</si>
  <si>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</si>
  <si>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</si>
  <si>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</si>
  <si>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</si>
  <si>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</si>
  <si>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</si>
  <si>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</si>
  <si>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</si>
  <si>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</si>
  <si>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</si>
  <si>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</si>
  <si>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</si>
  <si>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</si>
  <si>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</si>
  <si>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</si>
  <si>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</si>
  <si>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</si>
  <si>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</si>
  <si>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</si>
  <si>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</si>
  <si>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</si>
  <si>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</si>
  <si>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</si>
  <si>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</si>
  <si>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</si>
  <si>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</si>
  <si>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</si>
  <si>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</si>
  <si>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</si>
  <si>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</si>
  <si>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</si>
  <si>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</si>
  <si>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</si>
  <si>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</si>
  <si>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</si>
  <si>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</si>
  <si>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</si>
  <si>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</si>
  <si>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</si>
  <si>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</si>
  <si>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</si>
  <si>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</si>
  <si>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</si>
  <si>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</si>
  <si>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</si>
  <si>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</si>
  <si>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</si>
  <si>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</si>
  <si>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</si>
  <si>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</si>
  <si>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</si>
  <si>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</si>
  <si>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</si>
  <si>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</si>
  <si>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</si>
  <si>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</si>
  <si>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</si>
  <si>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</si>
  <si>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</si>
  <si>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</si>
  <si>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</si>
  <si>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</si>
  <si>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</si>
  <si>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</si>
  <si>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</si>
  <si>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</si>
  <si>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</si>
  <si>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</si>
  <si>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</si>
  <si>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</si>
  <si>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</si>
  <si>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</si>
  <si>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</si>
  <si>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</si>
  <si>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</si>
  <si>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</si>
  <si>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</si>
  <si>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</si>
  <si>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</si>
  <si>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</si>
  <si>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</si>
  <si>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</si>
  <si>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</si>
  <si>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</si>
  <si>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</si>
  <si>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</si>
  <si>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</si>
  <si>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</si>
  <si>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</si>
  <si>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</si>
  <si>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</si>
  <si>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</si>
  <si>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</si>
  <si>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</si>
  <si>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</si>
  <si>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</si>
  <si>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</si>
  <si>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</si>
  <si>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</si>
  <si>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</si>
  <si>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</si>
  <si>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</si>
  <si>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</si>
  <si>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</si>
  <si>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</si>
  <si>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</si>
  <si>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</si>
  <si>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</si>
  <si>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</si>
  <si>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</si>
  <si>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</si>
  <si>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</si>
  <si>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</si>
  <si>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</si>
  <si>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</si>
  <si>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</si>
  <si>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</si>
  <si>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</si>
  <si>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</si>
  <si>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</si>
  <si>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</si>
  <si>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</si>
  <si>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</si>
  <si>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</si>
  <si>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</si>
  <si>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</si>
  <si>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</si>
  <si>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</si>
  <si>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</si>
  <si>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</si>
  <si>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</si>
  <si>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</si>
  <si>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</si>
  <si>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</si>
  <si>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</si>
  <si>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</si>
  <si>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</si>
  <si>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</si>
  <si>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</si>
  <si>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</si>
  <si>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</si>
  <si>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</si>
  <si>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</si>
  <si>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</si>
  <si>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</si>
  <si>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</si>
  <si>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</si>
  <si>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</si>
  <si>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</si>
  <si>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</si>
  <si>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</si>
  <si>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</si>
  <si>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</si>
  <si>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</si>
  <si>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</si>
  <si>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</si>
  <si>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</si>
  <si>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</si>
  <si>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</si>
  <si>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</si>
  <si>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</si>
  <si>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</si>
  <si>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</si>
  <si>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</si>
  <si>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</si>
  <si>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</si>
  <si>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</si>
  <si>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</si>
  <si>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</si>
  <si>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</si>
  <si>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</si>
  <si>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</si>
  <si>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</si>
  <si>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</si>
  <si>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</si>
  <si>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</si>
  <si>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</si>
  <si>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</si>
  <si>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</si>
  <si>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</si>
  <si>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</si>
  <si>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</si>
  <si>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</si>
  <si>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</si>
  <si>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</si>
  <si>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</si>
  <si>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</si>
  <si>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</si>
  <si>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</si>
  <si>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</si>
  <si>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</si>
  <si>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</si>
  <si>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</si>
  <si>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</si>
  <si>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</si>
  <si>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</si>
  <si>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</si>
  <si>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</si>
  <si>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</si>
  <si>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</si>
  <si>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</si>
  <si>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</si>
  <si>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</si>
  <si>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</si>
  <si>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</si>
  <si>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</si>
  <si>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</si>
  <si>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</si>
  <si>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</si>
  <si>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</si>
  <si>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</si>
  <si>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</si>
  <si>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</si>
  <si>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</si>
  <si>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</si>
  <si>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</si>
  <si>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</si>
  <si>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</si>
  <si>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</si>
  <si>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</si>
  <si>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</si>
  <si>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</si>
  <si>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</si>
  <si>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</si>
  <si>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</si>
  <si>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</si>
  <si>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</si>
  <si>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</si>
  <si>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</si>
  <si>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</si>
  <si>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</si>
  <si>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</si>
  <si>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</si>
  <si>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</si>
  <si>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</si>
  <si>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</si>
  <si>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</si>
  <si>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</si>
  <si>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</si>
  <si>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</si>
  <si>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</si>
  <si>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</si>
  <si>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</si>
  <si>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</si>
  <si>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</si>
  <si>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</si>
  <si>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</si>
  <si>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</si>
  <si>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</si>
  <si>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</si>
  <si>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</si>
  <si>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</si>
  <si>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</si>
  <si>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</si>
  <si>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</si>
  <si>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</si>
  <si>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</si>
  <si>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</si>
  <si>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</si>
  <si>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</si>
  <si>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</si>
  <si>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</si>
  <si>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</si>
  <si>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</si>
  <si>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</si>
  <si>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</si>
  <si>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</si>
  <si>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</si>
  <si>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</si>
  <si>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</si>
  <si>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</si>
  <si>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</si>
  <si>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</si>
  <si>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</si>
  <si>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</si>
  <si>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</si>
  <si>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</si>
  <si>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</si>
  <si>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</si>
  <si>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</si>
  <si>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</si>
  <si>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</si>
  <si>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</si>
  <si>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</si>
  <si>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</si>
  <si>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</si>
  <si>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</si>
  <si>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</si>
  <si>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</si>
  <si>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</si>
  <si>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</si>
  <si>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</si>
  <si>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</si>
  <si>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</si>
  <si>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</si>
  <si>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</si>
  <si>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</si>
  <si>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</si>
  <si>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</si>
  <si>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</si>
  <si>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</si>
  <si>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</si>
  <si>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</si>
  <si>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</si>
  <si>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</si>
  <si>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</si>
  <si>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</si>
  <si>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</si>
  <si>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</si>
  <si>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</si>
  <si>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</si>
  <si>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</si>
  <si>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</si>
  <si>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</si>
  <si>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</si>
  <si>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</si>
  <si>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</si>
  <si>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</si>
  <si>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</si>
  <si>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</si>
  <si>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</si>
  <si>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</si>
  <si>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</si>
  <si>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</si>
  <si>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</si>
  <si>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</si>
  <si>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</si>
  <si>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</si>
  <si>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</si>
  <si>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</si>
  <si>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</si>
  <si>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</si>
  <si>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</si>
  <si>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</si>
  <si>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</si>
  <si>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</si>
  <si>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</si>
  <si>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</si>
  <si>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</si>
  <si>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</si>
  <si>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</si>
  <si>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</si>
  <si>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</si>
  <si>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</si>
  <si>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</si>
  <si>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</si>
  <si>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</si>
  <si>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</si>
  <si>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</si>
  <si>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</si>
  <si>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</si>
  <si>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</si>
  <si>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</si>
  <si>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</si>
  <si>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</si>
  <si>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</si>
  <si>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</si>
  <si>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</si>
  <si>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</si>
  <si>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</si>
  <si>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</si>
  <si>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</si>
  <si>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</si>
  <si>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</si>
  <si>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</si>
  <si>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</si>
  <si>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</si>
  <si>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</si>
  <si>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</si>
  <si>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</si>
  <si>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</si>
  <si>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</si>
  <si>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</si>
  <si>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</si>
  <si>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</si>
  <si>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</si>
  <si>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</si>
  <si>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</si>
  <si>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</si>
  <si>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</si>
  <si>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</si>
  <si>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</si>
  <si>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</si>
  <si>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</si>
  <si>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</si>
  <si>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</si>
  <si>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</si>
  <si>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</si>
  <si>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</si>
  <si>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</si>
  <si>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</si>
  <si>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</si>
  <si>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</si>
  <si>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</si>
  <si>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</si>
  <si>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</si>
  <si>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</si>
  <si>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</si>
  <si>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</si>
  <si>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</si>
  <si>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</si>
  <si>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</si>
  <si>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</si>
  <si>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</si>
  <si>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</si>
  <si>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</si>
  <si>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</si>
  <si>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</si>
  <si>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</si>
  <si>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</si>
  <si>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</si>
  <si>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</si>
  <si>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</si>
  <si>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</si>
  <si>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</si>
  <si>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</si>
  <si>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</si>
  <si>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</si>
  <si>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</si>
  <si>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</si>
  <si>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</si>
  <si>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</si>
  <si>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</si>
  <si>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</si>
  <si>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</si>
  <si>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</si>
  <si>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</si>
  <si>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</si>
  <si>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</si>
  <si>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</si>
  <si>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</si>
  <si>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</si>
  <si>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</si>
  <si>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</si>
  <si>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</si>
  <si>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</si>
  <si>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</si>
  <si>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</si>
  <si>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</si>
  <si>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</si>
  <si>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</si>
  <si>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</si>
  <si>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</si>
  <si>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</si>
  <si>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</si>
  <si>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</si>
  <si>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</si>
  <si>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</si>
  <si>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</si>
  <si>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</si>
  <si>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</si>
  <si>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</si>
  <si>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</si>
  <si>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</si>
  <si>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</si>
  <si>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</si>
  <si>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</si>
  <si>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</si>
  <si>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</si>
  <si>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</si>
  <si>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</si>
  <si>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</si>
  <si>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</si>
  <si>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</si>
  <si>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</si>
  <si>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</si>
  <si>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</si>
  <si>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</si>
  <si>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</si>
  <si>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</si>
  <si>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</si>
  <si>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</si>
  <si>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</si>
  <si>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</si>
  <si>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</si>
  <si>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</si>
  <si>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</si>
  <si>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</si>
  <si>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</si>
  <si>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</si>
  <si>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</si>
  <si>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</si>
  <si>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</si>
  <si>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</si>
  <si>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</si>
  <si>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</si>
  <si>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</si>
  <si>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</si>
  <si>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</si>
  <si>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</si>
  <si>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</si>
  <si>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</si>
  <si>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</si>
  <si>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</si>
  <si>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</si>
  <si>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</si>
  <si>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</si>
  <si>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</si>
  <si>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</si>
  <si>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</si>
  <si>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</si>
  <si>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</si>
  <si>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</si>
  <si>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</si>
  <si>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</si>
  <si>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</si>
  <si>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</si>
  <si>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</si>
  <si>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</si>
  <si>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</si>
  <si>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</si>
  <si>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</si>
  <si>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</si>
  <si>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</si>
  <si>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</si>
  <si>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</si>
  <si>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</si>
  <si>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</si>
  <si>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</si>
  <si>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</si>
  <si>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</si>
  <si>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</si>
  <si>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</si>
  <si>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</si>
  <si>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</si>
  <si>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</si>
  <si>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</si>
  <si>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</si>
  <si>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</si>
  <si>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</si>
  <si>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</si>
  <si>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</si>
  <si>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</si>
  <si>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</si>
  <si>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</si>
  <si>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</si>
  <si>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</si>
  <si>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</si>
  <si>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</si>
  <si>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</si>
  <si>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</si>
  <si>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</si>
  <si>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</si>
  <si>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</si>
  <si>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</si>
  <si>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</si>
  <si>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</si>
  <si>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</si>
  <si>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</si>
  <si>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</si>
  <si>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</si>
  <si>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</si>
  <si>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</si>
  <si>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</si>
  <si>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</si>
  <si>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</si>
  <si>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</si>
  <si>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</si>
  <si>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</si>
  <si>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</si>
  <si>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</si>
  <si>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</si>
  <si>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</si>
  <si>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</si>
  <si>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</si>
  <si>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</si>
  <si>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</si>
  <si>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</si>
  <si>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</si>
  <si>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</si>
  <si>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</si>
  <si>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</si>
  <si>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</si>
  <si>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</si>
  <si>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</si>
  <si>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</si>
  <si>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</si>
  <si>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</si>
  <si>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</si>
  <si>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</si>
  <si>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</si>
  <si>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</si>
  <si>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</si>
  <si>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</si>
  <si>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</si>
  <si>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</si>
  <si>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</si>
  <si>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</si>
  <si>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</si>
  <si>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</si>
  <si>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</si>
  <si>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</si>
  <si>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</si>
  <si>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</si>
  <si>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</si>
  <si>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</si>
  <si>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</si>
  <si>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</si>
  <si>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</si>
  <si>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</si>
  <si>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</si>
  <si>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</si>
  <si>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</si>
  <si>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</si>
  <si>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</si>
  <si>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</si>
  <si>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</si>
  <si>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</si>
  <si>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</si>
  <si>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</si>
  <si>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</si>
  <si>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</si>
  <si>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</si>
  <si>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</si>
  <si>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</si>
  <si>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</si>
  <si>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</si>
  <si>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</si>
  <si>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</si>
  <si>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</si>
  <si>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</si>
  <si>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</si>
  <si>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</si>
  <si>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</si>
  <si>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</si>
  <si>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</si>
  <si>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</si>
  <si>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</si>
  <si>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</si>
  <si>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</si>
  <si>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</si>
  <si>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</si>
  <si>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</si>
  <si>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</si>
  <si>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</si>
  <si>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</si>
  <si>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</si>
  <si>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</si>
  <si>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</si>
  <si>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</si>
  <si>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</si>
  <si>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</si>
  <si>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</si>
  <si>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</si>
  <si>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</si>
  <si>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</si>
  <si>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</si>
  <si>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</si>
  <si>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</si>
  <si>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</si>
  <si>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</si>
  <si>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</si>
  <si>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</si>
  <si>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</si>
  <si>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</si>
  <si>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</si>
  <si>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</si>
  <si>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</si>
  <si>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</si>
  <si>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</si>
  <si>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</si>
  <si>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</si>
  <si>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</si>
  <si>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</si>
  <si>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</si>
  <si>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</si>
  <si>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</si>
  <si>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</si>
  <si>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</si>
  <si>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</si>
  <si>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</si>
  <si>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</si>
  <si>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</si>
  <si>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</si>
  <si>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</si>
  <si>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</si>
  <si>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</si>
  <si>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</si>
  <si>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</si>
  <si>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</si>
  <si>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</si>
  <si>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</si>
  <si>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</si>
  <si>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</si>
  <si>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</si>
  <si>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</si>
  <si>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</si>
  <si>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</si>
  <si>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</si>
  <si>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</si>
  <si>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</si>
  <si>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</si>
  <si>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</si>
  <si>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</si>
  <si>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</si>
  <si>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</si>
  <si>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</si>
  <si>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</si>
  <si>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</si>
  <si>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</si>
  <si>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</si>
  <si>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</si>
  <si>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</si>
  <si>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</si>
  <si>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</si>
  <si>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</si>
  <si>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</si>
  <si>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</si>
  <si>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</si>
  <si>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</si>
  <si>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</si>
  <si>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</si>
  <si>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</si>
  <si>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</si>
  <si>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</si>
  <si>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</si>
  <si>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</si>
  <si>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</si>
  <si>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</si>
  <si>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</si>
  <si>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</si>
  <si>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</si>
  <si>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</si>
  <si>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</si>
  <si>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</si>
  <si>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</si>
  <si>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</si>
  <si>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</si>
  <si>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</si>
  <si>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</si>
  <si>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</si>
  <si>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</si>
  <si>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</si>
  <si>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</si>
  <si>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</si>
  <si>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</si>
  <si>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</si>
  <si>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</si>
  <si>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</si>
  <si>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</si>
  <si>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</si>
  <si>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</si>
  <si>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</si>
  <si>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</si>
  <si>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</si>
  <si>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</si>
  <si>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</si>
  <si>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</si>
  <si>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</si>
  <si>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</si>
  <si>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</si>
  <si>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</si>
  <si>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</si>
  <si>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</si>
  <si>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</si>
  <si>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</si>
  <si>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</si>
  <si>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</si>
  <si>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</si>
  <si>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</si>
  <si>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</si>
  <si>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</si>
  <si>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</si>
  <si>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</si>
  <si>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</si>
  <si>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</si>
  <si>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</si>
  <si>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</si>
  <si>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</si>
  <si>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</si>
  <si>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</si>
  <si>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</si>
  <si>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</si>
  <si>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</si>
  <si>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</si>
  <si>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</si>
  <si>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</si>
  <si>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</si>
  <si>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</si>
  <si>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</si>
  <si>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</si>
  <si>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</si>
  <si>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</si>
  <si>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</si>
  <si>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</si>
  <si>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</si>
  <si>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</si>
  <si>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</si>
  <si>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</si>
  <si>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</si>
  <si>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</si>
  <si>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</si>
  <si>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</si>
  <si>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</si>
  <si>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</si>
  <si>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</si>
  <si>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</si>
  <si>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</si>
  <si>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</si>
  <si>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</si>
  <si>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</si>
  <si>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</si>
  <si>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</si>
  <si>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</si>
  <si>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</si>
  <si>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</si>
  <si>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</si>
  <si>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</si>
  <si>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</si>
  <si>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</si>
  <si>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</si>
  <si>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</si>
  <si>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</si>
  <si>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</si>
  <si>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</si>
  <si>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</si>
  <si>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</si>
  <si>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</si>
  <si>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</si>
  <si>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</si>
  <si>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</si>
  <si>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</si>
  <si>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</si>
  <si>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</si>
  <si>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</si>
  <si>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</si>
  <si>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</si>
  <si>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</si>
  <si>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</si>
  <si>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</si>
  <si>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</si>
  <si>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</si>
  <si>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</si>
  <si>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</si>
  <si>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</si>
  <si>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</si>
  <si>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</si>
  <si>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</si>
  <si>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</si>
  <si>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</si>
  <si>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</si>
  <si>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</si>
  <si>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</si>
  <si>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</si>
  <si>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</si>
  <si>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</si>
  <si>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</si>
  <si>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</si>
  <si>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</si>
  <si>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</si>
  <si>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</si>
  <si>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</si>
  <si>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</si>
  <si>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</si>
  <si>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</si>
  <si>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</si>
  <si>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</si>
  <si>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</si>
  <si>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</si>
  <si>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</si>
  <si>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</si>
  <si>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</si>
  <si>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</si>
  <si>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</si>
  <si>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</si>
  <si>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</si>
  <si>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</si>
  <si>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</si>
  <si>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</si>
  <si>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</si>
  <si>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</si>
  <si>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</si>
  <si>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</si>
  <si>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</si>
  <si>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</si>
  <si>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</si>
  <si>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</si>
  <si>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</si>
  <si>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</si>
  <si>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</si>
  <si>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</si>
  <si>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</si>
  <si>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</si>
  <si>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</si>
  <si>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</si>
  <si>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</si>
  <si>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</si>
  <si>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</si>
  <si>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</si>
  <si>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</si>
  <si>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</si>
  <si>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</si>
  <si>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</si>
  <si>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</si>
  <si>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</si>
  <si>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</si>
  <si>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</si>
  <si>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</si>
  <si>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</si>
  <si>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</si>
  <si>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</si>
  <si>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</si>
  <si>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</si>
  <si>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</si>
  <si>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</si>
  <si>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</si>
  <si>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</si>
  <si>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</si>
  <si>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</si>
  <si>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</si>
  <si>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</si>
  <si>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</si>
  <si>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</si>
  <si>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</si>
  <si>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</si>
  <si>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</si>
  <si>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</si>
  <si>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</si>
  <si>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</si>
  <si>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</si>
  <si>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</si>
  <si>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</si>
  <si>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</si>
  <si>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</si>
  <si>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</si>
  <si>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</si>
  <si>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</si>
  <si>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</si>
  <si>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</si>
  <si>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</si>
  <si>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</si>
  <si>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</si>
  <si>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</si>
  <si>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</si>
  <si>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</si>
  <si>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</si>
  <si>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</si>
  <si>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</si>
  <si>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</si>
  <si>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</si>
  <si>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</si>
  <si>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</si>
  <si>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</si>
  <si>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</si>
  <si>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</si>
  <si>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</si>
  <si>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</si>
  <si>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</si>
  <si>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</si>
  <si>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</si>
  <si>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</si>
  <si>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</si>
  <si>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</si>
  <si>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</si>
  <si>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</si>
  <si>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</si>
  <si>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</si>
  <si>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</si>
  <si>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</si>
  <si>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</si>
  <si>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</si>
  <si>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</si>
  <si>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</si>
  <si>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</si>
  <si>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</si>
  <si>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</si>
  <si>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</si>
  <si>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</si>
  <si>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</si>
  <si>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</si>
  <si>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</si>
  <si>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</si>
  <si>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</si>
  <si>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</si>
  <si>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</si>
  <si>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</si>
  <si>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</si>
  <si>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</si>
  <si>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</si>
  <si>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</si>
  <si>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</si>
  <si>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</si>
  <si>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</si>
  <si>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</si>
  <si>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</si>
  <si>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</si>
  <si>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</si>
  <si>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</si>
  <si>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</si>
  <si>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</si>
  <si>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</si>
  <si>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</si>
  <si>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</si>
  <si>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</si>
  <si>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</si>
  <si>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</si>
  <si>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</si>
  <si>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</si>
  <si>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</si>
  <si>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</si>
  <si>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</si>
  <si>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</si>
  <si>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</si>
  <si>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</si>
  <si>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</si>
  <si>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</si>
  <si>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</si>
  <si>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</si>
  <si>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</si>
  <si>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</si>
  <si>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</si>
  <si>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</si>
  <si>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</si>
  <si>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</si>
  <si>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</si>
  <si>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</si>
  <si>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</si>
  <si>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</si>
  <si>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</si>
  <si>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</si>
  <si>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</si>
  <si>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</si>
  <si>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</si>
  <si>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</si>
  <si>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</si>
  <si>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</si>
  <si>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</si>
  <si>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</si>
  <si>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</si>
  <si>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</si>
  <si>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</si>
  <si>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</si>
  <si>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</si>
  <si>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</si>
  <si>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</si>
  <si>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</si>
  <si>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</si>
  <si>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</si>
  <si>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</si>
  <si>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</si>
  <si>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</si>
  <si>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</si>
  <si>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</si>
  <si>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</si>
  <si>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</si>
  <si>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</si>
  <si>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</si>
  <si>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</si>
  <si>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</si>
  <si>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</si>
  <si>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</si>
  <si>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</si>
  <si>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</si>
  <si>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</si>
  <si>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</si>
  <si>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</si>
  <si>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</si>
  <si>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</si>
  <si>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</si>
  <si>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</si>
  <si>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</si>
  <si>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</si>
  <si>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</si>
  <si>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</si>
  <si>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</si>
  <si>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</si>
  <si>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</si>
  <si>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</si>
  <si>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</si>
  <si>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</si>
  <si>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</si>
  <si>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</si>
  <si>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</si>
  <si>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</si>
  <si>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</si>
  <si>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</si>
  <si>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</si>
  <si>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</si>
  <si>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</si>
  <si>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</si>
  <si>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</si>
  <si>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</si>
  <si>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</si>
  <si>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</si>
  <si>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</si>
  <si>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</si>
  <si>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</si>
  <si>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</si>
  <si>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</si>
  <si>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</si>
  <si>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</si>
  <si>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</si>
  <si>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</si>
  <si>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</si>
  <si>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</si>
  <si>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</si>
  <si>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</si>
  <si>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</si>
  <si>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</si>
  <si>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</si>
  <si>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</si>
  <si>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</si>
  <si>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</si>
  <si>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</si>
  <si>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</si>
  <si>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</si>
  <si>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</si>
  <si>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</si>
  <si>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</si>
  <si>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</si>
  <si>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</si>
  <si>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</si>
  <si>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</si>
  <si>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</si>
  <si>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</si>
  <si>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</si>
  <si>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</si>
  <si>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</si>
  <si>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</si>
  <si>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</si>
  <si>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</si>
  <si>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</si>
  <si>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</si>
  <si>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</si>
  <si>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</si>
  <si>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</si>
  <si>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</si>
  <si>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</si>
  <si>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</si>
  <si>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</si>
  <si>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</si>
  <si>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</si>
  <si>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</si>
  <si>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</si>
  <si>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</si>
  <si>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</si>
  <si>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</si>
  <si>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</si>
  <si>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</si>
  <si>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</si>
  <si>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</si>
  <si>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</si>
  <si>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</si>
  <si>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</si>
  <si>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</si>
  <si>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</si>
  <si>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</si>
  <si>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</si>
  <si>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</si>
  <si>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</si>
  <si>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</si>
  <si>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</si>
  <si>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</si>
  <si>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</si>
  <si>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</si>
  <si>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</si>
  <si>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</si>
  <si>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</si>
  <si>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</si>
  <si>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</si>
  <si>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</si>
  <si>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</si>
  <si>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</si>
  <si>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</si>
  <si>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</si>
  <si>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</si>
  <si>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</si>
  <si>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</si>
  <si>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</si>
  <si>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</si>
  <si>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</si>
  <si>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</si>
  <si>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</si>
  <si>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</si>
  <si>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</si>
  <si>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</si>
  <si>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</si>
  <si>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</si>
  <si>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</si>
  <si>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</si>
  <si>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</si>
  <si>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</si>
  <si>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</si>
  <si>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</si>
  <si>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</si>
  <si>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</si>
  <si>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</si>
  <si>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</si>
  <si>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</si>
  <si>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</si>
  <si>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</si>
  <si>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</si>
  <si>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</si>
  <si>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</si>
  <si>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</si>
  <si>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</si>
  <si>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</si>
  <si>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</si>
  <si>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</si>
  <si>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</si>
  <si>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</si>
  <si>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</si>
  <si>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</si>
  <si>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</si>
  <si>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</si>
  <si>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</si>
  <si>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</si>
  <si>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</si>
  <si>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</si>
  <si>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</si>
  <si>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</si>
  <si>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</si>
  <si>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</si>
  <si>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</si>
  <si>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</si>
  <si>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</si>
  <si>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</si>
  <si>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</si>
  <si>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</si>
  <si>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</si>
  <si>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</si>
  <si>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</si>
  <si>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</si>
  <si>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</si>
  <si>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</si>
  <si>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</si>
  <si>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</si>
  <si>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</si>
  <si>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</si>
  <si>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</si>
  <si>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</si>
  <si>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</si>
  <si>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</si>
  <si>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</si>
  <si>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</si>
  <si>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</si>
  <si>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</si>
  <si>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</si>
  <si>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</si>
  <si>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</si>
  <si>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</si>
  <si>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</si>
  <si>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</si>
  <si>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</si>
  <si>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</si>
  <si>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</si>
  <si>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</si>
  <si>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</si>
  <si>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</si>
  <si>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</si>
  <si>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</si>
  <si>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</si>
  <si>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</si>
  <si>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</si>
  <si>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</si>
  <si>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</si>
  <si>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</si>
  <si>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</si>
  <si>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</si>
  <si>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</si>
  <si>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</si>
  <si>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</si>
  <si>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</si>
  <si>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</si>
  <si>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</si>
  <si>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</si>
  <si>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</si>
  <si>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</si>
  <si>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</si>
  <si>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</si>
  <si>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</si>
  <si>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</si>
  <si>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</si>
  <si>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</si>
  <si>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</si>
  <si>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</si>
  <si>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</si>
  <si>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</si>
  <si>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</si>
  <si>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</si>
  <si>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</si>
  <si>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</si>
  <si>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</si>
  <si>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</si>
  <si>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</si>
  <si>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</si>
  <si>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</si>
  <si>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</si>
  <si>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</si>
  <si>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</si>
  <si>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</si>
  <si>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</si>
  <si>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</si>
  <si>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</si>
  <si>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</si>
  <si>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</si>
  <si>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</si>
  <si>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</si>
  <si>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</si>
  <si>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</si>
  <si>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</si>
  <si>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</si>
  <si>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</si>
  <si>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</si>
  <si>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</si>
  <si>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</si>
  <si>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</si>
  <si>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</si>
  <si>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</si>
  <si>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</si>
  <si>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</si>
  <si>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</si>
  <si>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</si>
  <si>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</si>
  <si>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</si>
  <si>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</si>
  <si>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</si>
  <si>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</si>
  <si>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</si>
  <si>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</si>
  <si>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</si>
  <si>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</si>
  <si>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</si>
  <si>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</si>
  <si>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</si>
  <si>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</si>
  <si>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</si>
  <si>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</si>
  <si>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</si>
  <si>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</si>
  <si>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</si>
  <si>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</si>
  <si>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</si>
  <si>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</si>
  <si>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</si>
  <si>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</si>
  <si>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</si>
  <si>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</si>
  <si>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</si>
  <si>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</si>
  <si>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</si>
  <si>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</si>
  <si>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</si>
  <si>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</si>
  <si>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</si>
  <si>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</si>
  <si>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</si>
  <si>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</si>
  <si>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</si>
  <si>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</si>
  <si>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</si>
  <si>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</si>
  <si>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</si>
  <si>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</si>
  <si>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</si>
  <si>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</si>
  <si>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</si>
  <si>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</si>
  <si>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</si>
  <si>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</si>
  <si>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</si>
  <si>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</si>
  <si>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</si>
  <si>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</si>
  <si>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</si>
  <si>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</si>
  <si>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</si>
  <si>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</si>
  <si>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</si>
  <si>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</si>
  <si>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</si>
  <si>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</si>
  <si>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</si>
  <si>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</si>
  <si>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</si>
  <si>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</si>
  <si>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</si>
  <si>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</si>
  <si>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</si>
  <si>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</si>
  <si>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</si>
  <si>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</si>
  <si>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</si>
  <si>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</si>
  <si>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</si>
  <si>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</si>
  <si>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</si>
  <si>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</si>
  <si>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</si>
  <si>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</si>
  <si>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</si>
  <si>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</si>
  <si>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</si>
  <si>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</si>
  <si>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</si>
  <si>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</si>
  <si>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</si>
  <si>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</si>
  <si>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</si>
  <si>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</si>
  <si>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</si>
  <si>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</si>
  <si>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</si>
  <si>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</si>
  <si>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</si>
  <si>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</si>
  <si>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</si>
  <si>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</si>
  <si>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</si>
  <si>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</si>
  <si>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</si>
  <si>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</si>
  <si>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</si>
  <si>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</si>
  <si>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</si>
  <si>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</si>
  <si>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</si>
  <si>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</si>
  <si>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</si>
  <si>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</si>
  <si>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</si>
  <si>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</si>
  <si>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</si>
  <si>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</si>
  <si>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</si>
  <si>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</si>
  <si>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</si>
  <si>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</si>
  <si>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</si>
  <si>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</si>
  <si>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</si>
  <si>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</si>
  <si>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</si>
  <si>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</si>
  <si>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</si>
  <si>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Smelter ID CID003403 - Glencore states on their website that they produce cobalt mainly as a by-product of copper mining in the Democratic Republic of Congo (DRC).</t>
  </si>
  <si>
    <t>Glencore Nikkelverk Refinery - CID003403 has an RMI status of “In Communication”  but this smelter has agreed to a Coppermark Joint Due Diligence Standard audit that was scheduled for and completed in May 2023. Final audit assessment results are not yet available.</t>
  </si>
  <si>
    <t>Inova Semiconductors GmbH</t>
  </si>
  <si>
    <t>Grafinger St. 26, 81671 München, Germany</t>
  </si>
  <si>
    <t>Walter Nissl</t>
  </si>
  <si>
    <t>WNissl@inova-semiconductors.de</t>
  </si>
  <si>
    <t>+49 89 / 45 74 75 - 768</t>
  </si>
  <si>
    <t>Malte Leisner</t>
  </si>
  <si>
    <t>Director Quality &amp; Foundry Management</t>
  </si>
  <si>
    <t>MLeisner@inova-semiconductors.de</t>
  </si>
  <si>
    <t>+49 89 / 45 74 75 - 73</t>
  </si>
  <si>
    <t>QM Pilot Process 5.1.2 Conflict Minerals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</si>
</sst>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xf numFmtId="49" fontId="18" fillId="45" borderId="56" xfId="0" quotePrefix="1" applyNumberFormat="1"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Leisner@inova-semiconductors.de" TargetMode="External"/><Relationship Id="rId1" Type="http://schemas.openxmlformats.org/officeDocument/2006/relationships/hyperlink" Target="mailto:WNissl@inova-semiconductors.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3C655C73-1A02-40DE-92EE-C7317AE7AAE2}"/>
    </customSheetView>
    <customSheetView guid="{4BDF1A28-30D5-449D-B20E-D6C97EF9FAE1}" showAutoFilter="1">
      <selection activeCell="C1" sqref="C1:D65536"/>
      <pageMargins left="0" right="0" top="0" bottom="0" header="0" footer="0"/>
      <pageSetup orientation="portrait"/>
      <autoFilter ref="B1:C1" xr:uid="{54AE685F-BE48-4AE8-925C-9BDB25E5E4A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4"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39" workbookViewId="0">
      <selection activeCell="G81" sqref="G81:J8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12821</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98"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12828</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98" t="s">
        <v>12829</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45107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30" customHeight="1">
      <c r="A38" s="35"/>
      <c r="B38" s="34" t="str">
        <f ca="1">OFFSET(L!$C$1,MATCH("Declaration"&amp;ADDRESS(ROW(),COLUMN(),4),L!$A:$A,0)-1,SL,,)&amp;P38</f>
        <v>Cobalt(*)</v>
      </c>
      <c r="C38" s="7"/>
      <c r="D38" s="321" t="s">
        <v>26</v>
      </c>
      <c r="E38" s="322"/>
      <c r="F38" s="41"/>
      <c r="G38" s="323" t="s">
        <v>12819</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44.25" customHeight="1">
      <c r="A62" s="35"/>
      <c r="B62" s="34" t="str">
        <f ca="1">B38</f>
        <v>Cobalt(*)</v>
      </c>
      <c r="C62" s="29"/>
      <c r="D62" s="321" t="s">
        <v>26</v>
      </c>
      <c r="E62" s="322"/>
      <c r="F62" s="42"/>
      <c r="G62" s="323" t="s">
        <v>12820</v>
      </c>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12830</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t="s">
        <v>12830</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12830</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12830</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t="s">
        <v>12830</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t="s">
        <v>12830</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383119C-6912-42CD-B974-981F563A49E2}"/>
    <hyperlink ref="D20" r:id="rId2" xr:uid="{D8D0D04D-BD20-4593-9A2F-34679B2765E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B3" sqref="B3:E3"/>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198</v>
      </c>
      <c r="B5" s="150" t="s">
        <v>44</v>
      </c>
      <c r="C5" s="153" t="s">
        <v>197</v>
      </c>
      <c r="D5" s="150"/>
      <c r="E5" s="150" t="s">
        <v>72</v>
      </c>
      <c r="F5" s="150" t="s">
        <v>198</v>
      </c>
      <c r="G5" s="150" t="s">
        <v>12</v>
      </c>
      <c r="H5" s="208">
        <v>0</v>
      </c>
      <c r="I5" s="209" t="s">
        <v>199</v>
      </c>
      <c r="J5" s="209" t="s">
        <v>200</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IF(C5="",NA(),MATCH($B5&amp;$C5,'Smelter Look-up'!$J:$J,0))</f>
        <v>64</v>
      </c>
      <c r="X5" s="171">
        <f t="shared" ref="X5:X62" si="1">IF(AND(C5="Smelter not listed",OR(LEN(D5)=0,LEN(E5)=0)),1,0)</f>
        <v>0</v>
      </c>
      <c r="AB5" s="171" t="str">
        <f t="shared" ref="AB5:AB62" si="2">B5&amp;C5</f>
        <v>CobaltLanzhou Jinchuan Advanced Materials Technology Co., Ltd.</v>
      </c>
    </row>
    <row r="6" spans="1:34" s="171" customFormat="1" ht="20.25">
      <c r="A6" s="200" t="s">
        <v>278</v>
      </c>
      <c r="B6" s="150" t="s">
        <v>44</v>
      </c>
      <c r="C6" s="153" t="s">
        <v>277</v>
      </c>
      <c r="D6" s="150"/>
      <c r="E6" s="150" t="s">
        <v>72</v>
      </c>
      <c r="F6" s="150" t="s">
        <v>278</v>
      </c>
      <c r="G6" s="150" t="s">
        <v>12</v>
      </c>
      <c r="H6" s="208">
        <v>0</v>
      </c>
      <c r="I6" s="209" t="s">
        <v>279</v>
      </c>
      <c r="J6" s="209" t="s">
        <v>218</v>
      </c>
      <c r="K6" s="151"/>
      <c r="L6" s="151"/>
      <c r="M6" s="151"/>
      <c r="N6" s="151"/>
      <c r="O6" s="151"/>
      <c r="P6" s="211"/>
      <c r="Q6" s="152"/>
      <c r="R6" s="150" t="str">
        <f ca="1">IF(ISERROR($V6),"",OFFSET('Smelter Look-up'!$C$4,$V6-4,0)&amp;"")</f>
        <v>Quzhou Huayou Cobalt New Material Co., Ltd.</v>
      </c>
      <c r="S6" s="156" t="str">
        <f t="shared" ca="1" si="0"/>
        <v>CN</v>
      </c>
      <c r="T6" s="156" t="str">
        <f ca="1">IF(B6="","",IF(ISERROR(MATCH($J6,SorP!$B$1:$B$5661,0)),"",INDIRECT("'SorP'!$A$"&amp;MATCH($J6,SorP!$B$1:$B$5661,0))))</f>
        <v>CN-ZJ</v>
      </c>
      <c r="U6" s="169"/>
      <c r="V6" s="170">
        <f>IF(C6="",NA(),MATCH($B6&amp;$C6,'Smelter Look-up'!$J:$J,0))</f>
        <v>102</v>
      </c>
      <c r="X6" s="171">
        <f t="shared" si="1"/>
        <v>0</v>
      </c>
      <c r="AB6" s="171" t="str">
        <f t="shared" si="2"/>
        <v>CobaltQuzhou Huayou Cobalt New Material Co., Ltd.</v>
      </c>
    </row>
    <row r="7" spans="1:34" s="171" customFormat="1" ht="20.25">
      <c r="A7" s="200" t="s">
        <v>257</v>
      </c>
      <c r="B7" s="150" t="s">
        <v>44</v>
      </c>
      <c r="C7" s="153" t="s">
        <v>12561</v>
      </c>
      <c r="D7" s="150"/>
      <c r="E7" s="150" t="s">
        <v>143</v>
      </c>
      <c r="F7" s="150" t="s">
        <v>257</v>
      </c>
      <c r="G7" s="150" t="s">
        <v>12</v>
      </c>
      <c r="H7" s="208">
        <v>0</v>
      </c>
      <c r="I7" s="209" t="s">
        <v>258</v>
      </c>
      <c r="J7" s="209" t="s">
        <v>259</v>
      </c>
      <c r="K7" s="151"/>
      <c r="L7" s="151"/>
      <c r="M7" s="151"/>
      <c r="N7" s="151"/>
      <c r="O7" s="151"/>
      <c r="P7" s="211"/>
      <c r="Q7" s="152"/>
      <c r="R7" s="150" t="str">
        <f ca="1">IF(ISERROR($V7),"",OFFSET('Smelter Look-up'!$C$4,$V7-4,0)&amp;"")</f>
        <v>Niihama Nickel Refinery, Sumitomo Metal Mining</v>
      </c>
      <c r="S7" s="156" t="str">
        <f t="shared" ca="1" si="0"/>
        <v>JP</v>
      </c>
      <c r="T7" s="156" t="str">
        <f ca="1">IF(B7="","",IF(ISERROR(MATCH($J7,SorP!$B$1:$B$5661,0)),"",INDIRECT("'SorP'!$A$"&amp;MATCH($J7,SorP!$B$1:$B$5661,0))))</f>
        <v>JP-38</v>
      </c>
      <c r="U7" s="169"/>
      <c r="V7" s="170">
        <f>IF(C7="",NA(),MATCH($B7&amp;$C7,'Smelter Look-up'!$J:$J,0))</f>
        <v>96</v>
      </c>
      <c r="X7" s="171">
        <f t="shared" si="1"/>
        <v>0</v>
      </c>
      <c r="AB7" s="171" t="str">
        <f t="shared" si="2"/>
        <v>CobaltNiihama Nickel Refinery, Sumitomo Metal Mining</v>
      </c>
    </row>
    <row r="8" spans="1:34" s="171" customFormat="1" ht="20.25">
      <c r="A8" s="200" t="s">
        <v>126</v>
      </c>
      <c r="B8" s="150" t="s">
        <v>44</v>
      </c>
      <c r="C8" s="153" t="s">
        <v>124</v>
      </c>
      <c r="D8" s="150"/>
      <c r="E8" s="150" t="s">
        <v>125</v>
      </c>
      <c r="F8" s="150" t="s">
        <v>126</v>
      </c>
      <c r="G8" s="150" t="s">
        <v>12</v>
      </c>
      <c r="H8" s="208">
        <v>0</v>
      </c>
      <c r="I8" s="209" t="s">
        <v>127</v>
      </c>
      <c r="J8" s="209" t="s">
        <v>128</v>
      </c>
      <c r="K8" s="151"/>
      <c r="L8" s="151"/>
      <c r="M8" s="151"/>
      <c r="N8" s="151"/>
      <c r="O8" s="151"/>
      <c r="P8" s="211"/>
      <c r="Q8" s="152"/>
      <c r="R8" s="150" t="str">
        <f ca="1">IF(ISERROR($V8),"",OFFSET('Smelter Look-up'!$C$4,$V8-4,0)&amp;"")</f>
        <v>Glencore Nikkelverk Refinery</v>
      </c>
      <c r="S8" s="156" t="str">
        <f t="shared" ca="1" si="0"/>
        <v>NO</v>
      </c>
      <c r="T8" s="156" t="str">
        <f ca="1">IF(B8="","",IF(ISERROR(MATCH($J8,SorP!$B$1:$B$5661,0)),"",INDIRECT("'SorP'!$A$"&amp;MATCH($J8,SorP!$B$1:$B$5661,0))))</f>
        <v>NO-09</v>
      </c>
      <c r="U8" s="169"/>
      <c r="V8" s="170">
        <f>IF(C8="",NA(),MATCH($B8&amp;$C8,'Smelter Look-up'!$J:$J,0))</f>
        <v>27</v>
      </c>
      <c r="X8" s="171">
        <f t="shared" si="1"/>
        <v>0</v>
      </c>
      <c r="AB8" s="171" t="str">
        <f t="shared" si="2"/>
        <v>CobaltGlencore Nikkelverk Refinery</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Inova Semiconductors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Walter Nissl</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WNissl@inova-semiconductors.de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89 / 45 74 75 - 768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Malte Leisner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MLeisner@inova-semiconductors.de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89 / 45 74 75 - 73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45107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7252A00F-BE7A-4F40-A268-2D6BDB984A29}"/>
    </customSheetView>
    <customSheetView guid="{4BDF1A28-30D5-449D-B20E-D6C97EF9FAE1}" showAutoFilter="1">
      <selection activeCell="C174" sqref="C174"/>
      <pageMargins left="0" right="0" top="0" bottom="0" header="0" footer="0"/>
      <pageSetup paperSize="9" orientation="portrait"/>
      <autoFilter ref="B1:N1" xr:uid="{8E0B9FB8-1CAC-4E1C-87C0-CC7E67CC130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Dr. Malte Leisner</cp:lastModifiedBy>
  <cp:revision/>
  <dcterms:created xsi:type="dcterms:W3CDTF">2010-06-21T21:00:23Z</dcterms:created>
  <dcterms:modified xsi:type="dcterms:W3CDTF">2023-06-30T11:43:49Z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