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mzimmermann.INSC\Desktop\"/>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28680" yWindow="-120" windowWidth="29040" windowHeight="1779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52511"/>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R51" i="5" s="1"/>
  <c r="V50" i="5"/>
  <c r="R50" i="5" s="1"/>
  <c r="V49" i="5"/>
  <c r="R49" i="5" s="1"/>
  <c r="V48" i="5"/>
  <c r="R48" i="5" s="1"/>
  <c r="V47" i="5"/>
  <c r="R47" i="5" s="1"/>
  <c r="V46" i="5"/>
  <c r="R46" i="5" s="1"/>
  <c r="V45" i="5"/>
  <c r="R45" i="5" s="1"/>
  <c r="V44" i="5"/>
  <c r="R44" i="5" s="1"/>
  <c r="V42" i="5"/>
  <c r="V41" i="5"/>
  <c r="R41" i="5" s="1"/>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74" i="5"/>
  <c r="S42" i="5"/>
  <c r="X42" i="5" l="1"/>
  <c r="R42"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E171" i="5"/>
  <c r="X171" i="5" s="1"/>
  <c r="AB196" i="5"/>
  <c r="G218"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E97" i="5"/>
  <c r="X97" i="5" s="1"/>
  <c r="H79" i="5"/>
  <c r="F79" i="5"/>
  <c r="E79" i="5"/>
  <c r="X79" i="5" s="1"/>
  <c r="I79" i="5"/>
  <c r="G79" i="5"/>
  <c r="X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X26" i="5"/>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R43" i="5" s="1"/>
  <c r="R22"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R19" i="5"/>
  <c r="X19" i="5"/>
  <c r="X35" i="5"/>
  <c r="R35" i="5"/>
  <c r="H139" i="5"/>
  <c r="R139" i="5"/>
  <c r="J139" i="5"/>
  <c r="I139" i="5"/>
  <c r="E139" i="5"/>
  <c r="X139" i="5" s="1"/>
  <c r="F139" i="5"/>
  <c r="E193" i="5"/>
  <c r="X193" i="5" s="1"/>
  <c r="F193" i="5"/>
  <c r="H227" i="5"/>
  <c r="E227" i="5"/>
  <c r="X227" i="5" s="1"/>
  <c r="R227" i="5"/>
  <c r="F227" i="5"/>
  <c r="J227" i="5"/>
  <c r="I227" i="5"/>
  <c r="X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X27" i="5"/>
  <c r="R27" i="5"/>
  <c r="H83" i="5"/>
  <c r="R83" i="5"/>
  <c r="J83" i="5"/>
  <c r="I83" i="5"/>
  <c r="F83" i="5"/>
  <c r="E83" i="5"/>
  <c r="X83" i="5" s="1"/>
  <c r="X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X31" i="5"/>
  <c r="F113" i="5"/>
  <c r="E113" i="5"/>
  <c r="X113" i="5" s="1"/>
  <c r="R113" i="5"/>
  <c r="H155" i="5"/>
  <c r="R155" i="5"/>
  <c r="J155" i="5"/>
  <c r="I155" i="5"/>
  <c r="E155" i="5"/>
  <c r="X155" i="5" s="1"/>
  <c r="F155" i="5"/>
  <c r="H203" i="5"/>
  <c r="R203" i="5"/>
  <c r="J203" i="5"/>
  <c r="I203" i="5"/>
  <c r="E203" i="5"/>
  <c r="X203" i="5" s="1"/>
  <c r="F203" i="5"/>
  <c r="R249" i="5"/>
  <c r="E249" i="5"/>
  <c r="F249"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H62" i="5"/>
  <c r="X45"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G52" i="5"/>
  <c r="R58" i="5"/>
  <c r="X23" i="5"/>
  <c r="AB26" i="5"/>
  <c r="X39" i="5"/>
  <c r="AB22" i="5"/>
  <c r="R25"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X33" i="5"/>
  <c r="X49" i="5"/>
  <c r="E65" i="5"/>
  <c r="X65" i="5" s="1"/>
  <c r="I66" i="5"/>
  <c r="E81" i="5"/>
  <c r="X81" i="5" s="1"/>
  <c r="I82"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AB32"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R5" i="5"/>
  <c r="AB20" i="5"/>
  <c r="R21" i="5"/>
  <c r="AB28" i="5"/>
  <c r="R29" i="5"/>
  <c r="AB34" i="5"/>
  <c r="AB38" i="5"/>
  <c r="AB42" i="5"/>
  <c r="AB46"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AB5" i="5"/>
  <c r="AB21" i="5"/>
  <c r="AB29" i="5"/>
  <c r="AB35" i="5"/>
  <c r="AB39" i="5"/>
  <c r="AB43" i="5"/>
  <c r="AB47"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H114" i="5"/>
  <c r="F118" i="5"/>
  <c r="R118" i="5"/>
  <c r="J118" i="5"/>
  <c r="X5"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AB109" i="5"/>
  <c r="E117" i="5"/>
  <c r="X117" i="5" s="1"/>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AB31" i="5"/>
  <c r="AB25" i="5"/>
  <c r="AB37" i="5"/>
  <c r="AB45"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AB33" i="5"/>
  <c r="AB41"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X30" i="5"/>
  <c r="R31" i="5"/>
  <c r="X36" i="5"/>
  <c r="X40"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C9" i="6" s="1"/>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337" i="5"/>
  <c r="T437" i="5"/>
  <c r="T349" i="5"/>
  <c r="T433" i="5"/>
  <c r="T179" i="5"/>
  <c r="S511" i="5"/>
  <c r="S147" i="5"/>
  <c r="T158" i="5"/>
  <c r="T193" i="5"/>
  <c r="S193" i="5"/>
  <c r="S203" i="5"/>
  <c r="T182" i="5"/>
  <c r="T165" i="5"/>
  <c r="T213" i="5"/>
  <c r="T384" i="5"/>
  <c r="T84" i="5"/>
  <c r="T123" i="5"/>
  <c r="T250" i="5"/>
  <c r="T61" i="5"/>
  <c r="S85"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T234" i="5"/>
  <c r="S169" i="5"/>
  <c r="T126" i="5"/>
  <c r="T138" i="5"/>
  <c r="T171" i="5"/>
  <c r="T205" i="5"/>
  <c r="T121" i="5"/>
  <c r="T150" i="5"/>
  <c r="T110" i="5"/>
  <c r="S53" i="5"/>
  <c r="S61" i="5"/>
  <c r="T76" i="5"/>
  <c r="S123" i="5"/>
  <c r="S177" i="5"/>
  <c r="T186" i="5"/>
  <c r="T226" i="5"/>
  <c r="T327" i="5"/>
  <c r="S361"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55" i="5"/>
  <c r="S83" i="5"/>
  <c r="S95" i="5"/>
  <c r="S161" i="5"/>
  <c r="S171" i="5"/>
  <c r="T119" i="5"/>
  <c r="T183" i="5"/>
  <c r="T131" i="5"/>
  <c r="T195" i="5"/>
  <c r="T206" i="5"/>
  <c r="T294" i="5"/>
  <c r="T142" i="5"/>
  <c r="T93" i="5"/>
  <c r="S113" i="5"/>
  <c r="S145" i="5"/>
  <c r="T154" i="5"/>
  <c r="T214" i="5"/>
  <c r="T298" i="5"/>
  <c r="T56" i="5"/>
  <c r="T64" i="5"/>
  <c r="T69" i="5"/>
  <c r="T8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S229" i="5"/>
  <c r="S237" i="5"/>
  <c r="T341" i="5"/>
  <c r="S225" i="5"/>
  <c r="S179" i="5"/>
  <c r="S105" i="5"/>
  <c r="S137" i="5"/>
  <c r="T127" i="5"/>
  <c r="S159" i="5"/>
  <c r="T55" i="5"/>
  <c r="S75" i="5"/>
  <c r="T83" i="5"/>
  <c r="T106" i="5"/>
  <c r="T139" i="5"/>
  <c r="T173" i="5"/>
  <c r="T221" i="5"/>
  <c r="T242" i="5"/>
  <c r="S119" i="5"/>
  <c r="S183" i="5"/>
  <c r="T118" i="5"/>
  <c r="S131" i="5"/>
  <c r="S195" i="5"/>
  <c r="T111" i="5"/>
  <c r="T174" i="5"/>
  <c r="T331" i="5"/>
  <c r="T53" i="5"/>
  <c r="S65" i="5"/>
  <c r="T85" i="5"/>
  <c r="T187" i="5"/>
  <c r="T361"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413" i="5"/>
  <c r="T415" i="5"/>
  <c r="S543" i="5"/>
  <c r="S127" i="5"/>
  <c r="T161" i="5"/>
  <c r="T75" i="5"/>
  <c r="S129" i="5"/>
  <c r="T141" i="5"/>
  <c r="T371" i="5"/>
  <c r="T185" i="5"/>
  <c r="T133" i="5"/>
  <c r="T197" i="5"/>
  <c r="T278" i="5"/>
  <c r="S408" i="5"/>
  <c r="S111" i="5"/>
  <c r="T143" i="5"/>
  <c r="S197" i="5"/>
  <c r="T77" i="5"/>
  <c r="T96" i="5"/>
  <c r="T155" i="5"/>
  <c r="S187" i="5"/>
  <c r="T28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T409" i="5"/>
  <c r="T445" i="5"/>
  <c r="T381" i="5"/>
  <c r="T304" i="5"/>
  <c r="T429" i="5"/>
  <c r="S479" i="5"/>
  <c r="T286" i="5"/>
  <c r="T178" i="5"/>
  <c r="T129" i="5"/>
  <c r="S67" i="5"/>
  <c r="T107" i="5"/>
  <c r="T323" i="5"/>
  <c r="T101" i="5"/>
  <c r="T113" i="5"/>
  <c r="S143" i="5"/>
  <c r="S175" i="5"/>
  <c r="S57" i="5"/>
  <c r="S69" i="5"/>
  <c r="S89" i="5"/>
  <c r="S155"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9" i="5"/>
  <c r="T67" i="5"/>
  <c r="S99" i="5"/>
  <c r="T109" i="5"/>
  <c r="T162" i="5"/>
  <c r="T246" i="5"/>
  <c r="T307" i="5"/>
  <c r="T145" i="5"/>
  <c r="T177" i="5"/>
  <c r="S81" i="5"/>
  <c r="T157" i="5"/>
  <c r="T81" i="5"/>
  <c r="T122"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10" i="5"/>
  <c r="T389" i="5"/>
  <c r="T397" i="5"/>
  <c r="T449" i="5"/>
  <c r="T254" i="5"/>
  <c r="T114" i="5"/>
  <c r="T147" i="5"/>
  <c r="T218" i="5"/>
  <c r="T238" i="5"/>
  <c r="T59" i="5"/>
  <c r="T79" i="5"/>
  <c r="T99" i="5"/>
  <c r="T170" i="5"/>
  <c r="T203" i="5"/>
  <c r="T210" i="5"/>
  <c r="T274" i="5"/>
  <c r="T153" i="5"/>
  <c r="T351" i="5"/>
  <c r="T222" i="5"/>
  <c r="T57" i="5"/>
  <c r="S73" i="5"/>
  <c r="T92" i="5"/>
  <c r="T97"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468" i="5"/>
  <c r="T261" i="5"/>
  <c r="T202" i="5"/>
  <c r="T499" i="5"/>
  <c r="T428" i="5"/>
  <c r="T54" i="5"/>
  <c r="T86" i="5"/>
  <c r="T380" i="5"/>
  <c r="T456" i="5"/>
  <c r="T357" i="5"/>
  <c r="T311" i="5"/>
  <c r="T258" i="5"/>
  <c r="T352" i="5"/>
  <c r="T416" i="5"/>
  <c r="T432" i="5"/>
  <c r="T484" i="5"/>
  <c r="T266" i="5"/>
  <c r="T344" i="5"/>
  <c r="T146" i="5"/>
  <c r="T117" i="5"/>
  <c r="T404" i="5"/>
  <c r="T47" i="5"/>
  <c r="T19" i="5"/>
  <c r="S51" i="5"/>
  <c r="T6" i="5"/>
  <c r="T51" i="5"/>
  <c r="T29" i="5"/>
  <c r="S35" i="5"/>
  <c r="S25" i="5"/>
  <c r="S39" i="5"/>
  <c r="T35" i="5"/>
  <c r="T50" i="5"/>
  <c r="T22" i="5"/>
  <c r="T31" i="5"/>
  <c r="T37" i="5"/>
  <c r="T46" i="5"/>
  <c r="S26" i="5"/>
  <c r="T24" i="5"/>
  <c r="T41" i="5"/>
  <c r="T38" i="5"/>
  <c r="T5" i="5"/>
  <c r="S45" i="5"/>
  <c r="S18" i="5"/>
  <c r="T39" i="5"/>
  <c r="T28" i="5"/>
  <c r="T33" i="5"/>
  <c r="S28" i="5"/>
  <c r="S33" i="5"/>
  <c r="T27" i="5"/>
  <c r="T32" i="5"/>
  <c r="T42" i="5"/>
  <c r="T34" i="5"/>
  <c r="T45" i="5"/>
  <c r="S49" i="5"/>
  <c r="T18" i="5"/>
  <c r="T30" i="5"/>
  <c r="T49" i="5"/>
  <c r="T48" i="5"/>
  <c r="S41" i="5"/>
  <c r="T44" i="5"/>
  <c r="T23" i="5"/>
  <c r="S19" i="5"/>
  <c r="T26" i="5"/>
  <c r="S47" i="5"/>
  <c r="S31" i="5"/>
  <c r="S27" i="5"/>
  <c r="T20" i="5"/>
  <c r="T21" i="5"/>
  <c r="T25" i="5"/>
  <c r="T36" i="5"/>
  <c r="T40" i="5"/>
  <c r="C8" i="6" l="1"/>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91" i="5"/>
  <c r="R91" i="5"/>
  <c r="E91" i="5"/>
  <c r="I91" i="5"/>
  <c r="J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B35" i="6"/>
  <c r="G35" i="6" s="1"/>
  <c r="X6" i="5"/>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H25"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121" i="5"/>
  <c r="S360" i="5"/>
  <c r="S146" i="5"/>
  <c r="S482" i="5"/>
  <c r="S149" i="5"/>
  <c r="S546" i="5"/>
  <c r="S117" i="5"/>
  <c r="S353" i="5"/>
  <c r="S178" i="5"/>
  <c r="S563" i="5"/>
  <c r="S459" i="5"/>
  <c r="S278" i="5"/>
  <c r="S222" i="5"/>
  <c r="S327" i="5"/>
  <c r="S311" i="5"/>
  <c r="S373" i="5"/>
  <c r="S130" i="5"/>
  <c r="S56"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286" i="5"/>
  <c r="S86" i="5"/>
  <c r="S270" i="5"/>
  <c r="S13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98" i="5"/>
  <c r="S134" i="5"/>
  <c r="S507"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69" i="5"/>
  <c r="S381" i="5"/>
  <c r="S52" i="5"/>
  <c r="S309" i="5"/>
  <c r="T215" i="5"/>
  <c r="T391" i="5"/>
  <c r="T207" i="5"/>
  <c r="T407" i="5"/>
  <c r="T427" i="5"/>
  <c r="T191" i="5"/>
  <c r="T576" i="5"/>
  <c r="T251" i="5"/>
  <c r="T334" i="5"/>
  <c r="T524" i="5"/>
  <c r="T541" i="5"/>
  <c r="T340" i="5"/>
  <c r="T374" i="5"/>
  <c r="T300" i="5"/>
  <c r="T268" i="5"/>
  <c r="T236" i="5"/>
  <c r="T538" i="5"/>
  <c r="T545" i="5"/>
  <c r="T390" i="5"/>
  <c r="T288" i="5"/>
  <c r="T256" i="5"/>
  <c r="T224" i="5"/>
  <c r="T375" i="5"/>
  <c r="T513" i="5"/>
  <c r="T354" i="5"/>
  <c r="T188" i="5"/>
  <c r="T573" i="5"/>
  <c r="T212" i="5"/>
  <c r="T320" i="5"/>
  <c r="S24" i="5"/>
  <c r="S37" i="5"/>
  <c r="S38" i="5"/>
  <c r="S30" i="5"/>
  <c r="S32" i="5"/>
  <c r="S22" i="5"/>
  <c r="S6" i="5"/>
  <c r="S44" i="5"/>
  <c r="S20" i="5"/>
  <c r="T43" i="5"/>
  <c r="S46" i="5"/>
  <c r="S50" i="5"/>
  <c r="S48" i="5"/>
  <c r="S36" i="5"/>
  <c r="S34" i="5"/>
  <c r="S29" i="5"/>
  <c r="S23" i="5"/>
  <c r="S21" i="5"/>
  <c r="S5" i="5"/>
  <c r="S40" i="5"/>
  <c r="X589" i="5" l="1"/>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C69" i="6" s="1"/>
  <c r="H49" i="6"/>
  <c r="D49" i="6" s="1"/>
  <c r="H34" i="6"/>
  <c r="H32" i="6"/>
  <c r="C45" i="6"/>
  <c r="C51" i="6"/>
  <c r="D19" i="6"/>
  <c r="C19" i="6"/>
  <c r="K65" i="6"/>
  <c r="D24"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S43" i="5"/>
  <c r="C40" i="6" l="1"/>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10" i="5"/>
  <c r="T7" i="5"/>
  <c r="T9" i="5"/>
  <c r="T13" i="5"/>
  <c r="T8" i="5"/>
  <c r="T17" i="5"/>
  <c r="T14" i="5"/>
  <c r="T15" i="5"/>
  <c r="T12" i="5"/>
  <c r="T16" i="5"/>
  <c r="T11" i="5"/>
  <c r="C68" i="6" l="1"/>
  <c r="X13" i="5"/>
  <c r="X10" i="5"/>
  <c r="D65" i="6"/>
  <c r="X9" i="5"/>
  <c r="X12" i="5"/>
  <c r="X14" i="5"/>
  <c r="X17" i="5"/>
  <c r="D66" i="6"/>
  <c r="C67" i="6"/>
  <c r="X11" i="5"/>
  <c r="X15" i="5"/>
  <c r="X8" i="5"/>
  <c r="X7" i="5"/>
  <c r="G69" i="6"/>
  <c r="H69" i="6" s="1"/>
  <c r="H70" i="6" s="1"/>
  <c r="D2" i="6" s="1"/>
  <c r="X16" i="5"/>
  <c r="D55" i="6"/>
  <c r="C55" i="6"/>
  <c r="D56" i="6"/>
  <c r="C56" i="6"/>
  <c r="S9" i="5"/>
  <c r="S17" i="5"/>
  <c r="S12" i="5"/>
  <c r="S15" i="5"/>
  <c r="S7" i="5"/>
  <c r="S16" i="5"/>
  <c r="S11" i="5"/>
  <c r="S13" i="5"/>
  <c r="S8" i="5"/>
  <c r="S14" i="5"/>
  <c r="S10"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<sst xmlns="http://schemas.openxmlformats.org/spreadsheetml/2006/main" count="22366" uniqueCount="15617">
  <si>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</si>
  <si>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</si>
  <si>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</si>
  <si>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</si>
  <si>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</si>
  <si>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</si>
  <si>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</si>
  <si>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</si>
  <si>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</si>
  <si>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</si>
  <si>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</si>
  <si>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</si>
  <si>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</si>
  <si>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</si>
  <si>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</si>
  <si>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</si>
  <si>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</si>
  <si>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</si>
  <si>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</si>
  <si>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</si>
  <si>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</si>
  <si>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</si>
  <si>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</si>
  <si>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</si>
  <si>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</si>
  <si>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</si>
  <si>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</si>
  <si>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</si>
  <si>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</si>
  <si>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</si>
  <si>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</si>
  <si>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</si>
  <si>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</si>
  <si>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</si>
  <si>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</si>
  <si>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</si>
  <si>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</si>
  <si>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</si>
  <si>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</si>
  <si>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</si>
  <si>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</si>
  <si>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</si>
  <si>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</si>
  <si>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</si>
  <si>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</si>
  <si>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</si>
  <si>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</si>
  <si>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</si>
  <si>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</si>
  <si>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</si>
  <si>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</si>
  <si>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</si>
  <si>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</si>
  <si>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</si>
  <si>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</si>
  <si>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</si>
  <si>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</si>
  <si>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</si>
  <si>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</si>
  <si>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</si>
  <si>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</si>
  <si>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</si>
  <si>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</si>
  <si>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</si>
  <si>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</si>
  <si>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</si>
  <si>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</si>
  <si>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</si>
  <si>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</si>
  <si>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</si>
  <si>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</si>
  <si>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</si>
  <si>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</si>
  <si>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</si>
  <si>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</si>
  <si>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</si>
  <si>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</si>
  <si>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</si>
  <si>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</si>
  <si>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</si>
  <si>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</si>
  <si>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</si>
  <si>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</si>
  <si>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</si>
  <si>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</si>
  <si>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</si>
  <si>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</si>
  <si>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</si>
  <si>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</si>
  <si>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</si>
  <si>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</si>
  <si>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</si>
  <si>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</si>
  <si>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</si>
  <si>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</si>
  <si>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</si>
  <si>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</si>
  <si>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</si>
  <si>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</si>
  <si>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</si>
  <si>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</si>
  <si>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</si>
  <si>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</si>
  <si>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</si>
  <si>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</si>
  <si>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</si>
  <si>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</si>
  <si>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</si>
  <si>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</si>
  <si>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</si>
  <si>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</si>
  <si>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</si>
  <si>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</si>
  <si>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</si>
  <si>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</si>
  <si>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</si>
  <si>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</si>
  <si>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</si>
  <si>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</si>
  <si>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</si>
  <si>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</si>
  <si>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</si>
  <si>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</si>
  <si>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</si>
  <si>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</si>
  <si>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</si>
  <si>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</si>
  <si>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</si>
  <si>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</si>
  <si>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</si>
  <si>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</si>
  <si>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</si>
  <si>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</si>
  <si>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</si>
  <si>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</si>
  <si>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</si>
  <si>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</si>
  <si>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</si>
  <si>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</si>
  <si>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</si>
  <si>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</si>
  <si>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</si>
  <si>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</si>
  <si>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</si>
  <si>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</si>
  <si>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</si>
  <si>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</si>
  <si>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</si>
  <si>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</si>
  <si>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</si>
  <si>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</si>
  <si>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</si>
  <si>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</si>
  <si>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</si>
  <si>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</si>
  <si>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</si>
  <si>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</si>
  <si>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</si>
  <si>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</si>
  <si>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</si>
  <si>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</si>
  <si>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</si>
  <si>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</si>
  <si>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</si>
  <si>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</si>
  <si>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</si>
  <si>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</si>
  <si>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</si>
  <si>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</si>
  <si>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</si>
  <si>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</si>
  <si>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</si>
  <si>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</si>
  <si>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</si>
  <si>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</si>
  <si>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</si>
  <si>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</si>
  <si>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</si>
  <si>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</si>
  <si>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</si>
  <si>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</si>
  <si>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</si>
  <si>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</si>
  <si>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</si>
  <si>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</si>
  <si>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</si>
  <si>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</si>
  <si>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</si>
  <si>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</si>
  <si>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</si>
  <si>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</si>
  <si>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</si>
  <si>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</si>
  <si>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</si>
  <si>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</si>
  <si>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</si>
  <si>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</si>
  <si>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</si>
  <si>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</si>
  <si>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</si>
  <si>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</si>
  <si>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</si>
  <si>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</si>
  <si>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</si>
  <si>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</si>
  <si>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</si>
  <si>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</si>
  <si>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</si>
  <si>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</si>
  <si>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</si>
  <si>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</si>
  <si>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</si>
  <si>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</si>
  <si>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</si>
  <si>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</si>
  <si>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</si>
  <si>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</si>
  <si>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</si>
  <si>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</si>
  <si>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</si>
  <si>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</si>
  <si>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</si>
  <si>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</si>
  <si>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</si>
  <si>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</si>
  <si>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</si>
  <si>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</si>
  <si>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</si>
  <si>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</si>
  <si>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</si>
  <si>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</si>
  <si>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</si>
  <si>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</si>
  <si>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</si>
  <si>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</si>
  <si>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</si>
  <si>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</si>
  <si>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</si>
  <si>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</si>
  <si>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</si>
  <si>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</si>
  <si>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</si>
  <si>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</si>
  <si>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</si>
  <si>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</si>
  <si>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</si>
  <si>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</si>
  <si>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</si>
  <si>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</si>
  <si>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</si>
  <si>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</si>
  <si>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</si>
  <si>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</si>
  <si>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</si>
  <si>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</si>
  <si>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</si>
  <si>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</si>
  <si>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</si>
  <si>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</si>
  <si>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</si>
  <si>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</si>
  <si>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</si>
  <si>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</si>
  <si>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</si>
  <si>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</si>
  <si>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</si>
  <si>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</si>
  <si>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</si>
  <si>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</si>
  <si>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</si>
  <si>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</si>
  <si>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</si>
  <si>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</si>
  <si>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</si>
  <si>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</si>
  <si>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</si>
  <si>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</si>
  <si>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</si>
  <si>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</si>
  <si>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</si>
  <si>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</si>
  <si>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</si>
  <si>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</si>
  <si>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</si>
  <si>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</si>
  <si>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</si>
  <si>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</si>
  <si>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</si>
  <si>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</si>
  <si>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</si>
  <si>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</si>
  <si>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</si>
  <si>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</si>
  <si>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</si>
  <si>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</si>
  <si>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</si>
  <si>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</si>
  <si>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</si>
  <si>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</si>
  <si>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</si>
  <si>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</si>
  <si>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</si>
  <si>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</si>
  <si>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</si>
  <si>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</si>
  <si>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</si>
  <si>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</si>
  <si>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</si>
  <si>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</si>
  <si>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</si>
  <si>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</si>
  <si>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</si>
  <si>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</si>
  <si>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</si>
  <si>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</si>
  <si>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</si>
  <si>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</si>
  <si>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</si>
  <si>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</si>
  <si>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</si>
  <si>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</si>
  <si>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</si>
  <si>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</si>
  <si>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</si>
  <si>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</si>
  <si>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</si>
  <si>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</si>
  <si>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</si>
  <si>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</si>
  <si>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</si>
  <si>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</si>
  <si>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</si>
  <si>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</si>
  <si>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</si>
  <si>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</si>
  <si>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</si>
  <si>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</si>
  <si>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</si>
  <si>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</si>
  <si>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</si>
  <si>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</si>
  <si>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</si>
  <si>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</si>
  <si>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</si>
  <si>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</si>
  <si>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</si>
  <si>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</si>
  <si>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</si>
  <si>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</si>
  <si>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</si>
  <si>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</si>
  <si>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</si>
  <si>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</si>
  <si>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</si>
  <si>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</si>
  <si>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</si>
  <si>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</si>
  <si>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</si>
  <si>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</si>
  <si>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</si>
  <si>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</si>
  <si>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</si>
  <si>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</si>
  <si>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</si>
  <si>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</si>
  <si>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</si>
  <si>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</si>
  <si>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</si>
  <si>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</si>
  <si>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</si>
  <si>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</si>
  <si>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</si>
  <si>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</si>
  <si>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</si>
  <si>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</si>
  <si>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</si>
  <si>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</si>
  <si>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</si>
  <si>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</si>
  <si>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</si>
  <si>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</si>
  <si>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</si>
  <si>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</si>
  <si>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</si>
  <si>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</si>
  <si>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</si>
  <si>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</si>
  <si>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</si>
  <si>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</si>
  <si>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</si>
  <si>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</si>
  <si>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</si>
  <si>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</si>
  <si>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</si>
  <si>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</si>
  <si>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</si>
  <si>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</si>
  <si>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</si>
  <si>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</si>
  <si>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</si>
  <si>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</si>
  <si>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</si>
  <si>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</si>
  <si>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</si>
  <si>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</si>
  <si>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</si>
  <si>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</si>
  <si>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</si>
  <si>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</si>
  <si>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</si>
  <si>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</si>
  <si>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</si>
  <si>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</si>
  <si>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</si>
  <si>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</si>
  <si>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</si>
  <si>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</si>
  <si>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</si>
  <si>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</si>
  <si>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</si>
  <si>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</si>
  <si>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</si>
  <si>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</si>
  <si>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</si>
  <si>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</si>
  <si>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</si>
  <si>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</si>
  <si>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</si>
  <si>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</si>
  <si>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</si>
  <si>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</si>
  <si>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</si>
  <si>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</si>
  <si>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</si>
  <si>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</si>
  <si>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</si>
  <si>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</si>
  <si>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</si>
  <si>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</si>
  <si>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</si>
  <si>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</si>
  <si>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</si>
  <si>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</si>
  <si>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</si>
  <si>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</si>
  <si>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</si>
  <si>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</si>
  <si>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</si>
  <si>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</si>
  <si>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</si>
  <si>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</si>
  <si>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</si>
  <si>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</si>
  <si>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</si>
  <si>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</si>
  <si>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</si>
  <si>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</si>
  <si>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</si>
  <si>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</si>
  <si>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</si>
  <si>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</si>
  <si>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</si>
  <si>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</si>
  <si>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</si>
  <si>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</si>
  <si>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</si>
  <si>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</si>
  <si>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</si>
  <si>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</si>
  <si>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</si>
  <si>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</si>
  <si>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</si>
  <si>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</si>
  <si>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</si>
  <si>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</si>
  <si>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</si>
  <si>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</si>
  <si>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</si>
  <si>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</si>
  <si>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</si>
  <si>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</si>
  <si>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</si>
  <si>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</si>
  <si>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</si>
  <si>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</si>
  <si>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</si>
  <si>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</si>
  <si>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</si>
  <si>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</si>
  <si>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</si>
  <si>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</si>
  <si>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</si>
  <si>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</si>
  <si>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</si>
  <si>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</si>
  <si>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</si>
  <si>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</si>
  <si>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</si>
  <si>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</si>
  <si>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</si>
  <si>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</si>
  <si>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</si>
  <si>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</si>
  <si>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</si>
  <si>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</si>
  <si>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</si>
  <si>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</si>
  <si>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</si>
  <si>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</si>
  <si>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</si>
  <si>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</si>
  <si>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</si>
  <si>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</si>
  <si>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</si>
  <si>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</si>
  <si>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</si>
  <si>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</si>
  <si>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</si>
  <si>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</si>
  <si>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</si>
  <si>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</si>
  <si>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</si>
  <si>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</si>
  <si>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</si>
  <si>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</si>
  <si>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</si>
  <si>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</si>
  <si>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</si>
  <si>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</si>
  <si>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</si>
  <si>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</si>
  <si>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</si>
  <si>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</si>
  <si>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</si>
  <si>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</si>
  <si>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</si>
  <si>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</si>
  <si>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</si>
  <si>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</si>
  <si>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</si>
  <si>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</si>
  <si>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</si>
  <si>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</si>
  <si>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</si>
  <si>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</si>
  <si>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</si>
  <si>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</si>
  <si>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</si>
  <si>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</si>
  <si>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</si>
  <si>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</si>
  <si>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</si>
  <si>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</si>
  <si>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</si>
  <si>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</si>
  <si>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</si>
  <si>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</si>
  <si>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</si>
  <si>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</si>
  <si>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</si>
  <si>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</si>
  <si>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</si>
  <si>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</si>
  <si>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</si>
  <si>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</si>
  <si>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</si>
  <si>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</si>
  <si>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</si>
  <si>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</si>
  <si>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</si>
  <si>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</si>
  <si>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</si>
  <si>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</si>
  <si>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</si>
  <si>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</si>
  <si>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</si>
  <si>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</si>
  <si>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</si>
  <si>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</si>
  <si>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</si>
  <si>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</si>
  <si>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</si>
  <si>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</si>
  <si>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</si>
  <si>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</si>
  <si>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</si>
  <si>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</si>
  <si>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</si>
  <si>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</si>
  <si>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</si>
  <si>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</si>
  <si>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</si>
  <si>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</si>
  <si>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</si>
  <si>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</si>
  <si>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</si>
  <si>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</si>
  <si>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</si>
  <si>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</si>
  <si>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</si>
  <si>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</si>
  <si>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</si>
  <si>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</si>
  <si>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</si>
  <si>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</si>
  <si>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</si>
  <si>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</si>
  <si>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</si>
  <si>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</si>
  <si>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</si>
  <si>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</si>
  <si>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</si>
  <si>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</si>
  <si>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</si>
  <si>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</si>
  <si>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</si>
  <si>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</si>
  <si>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</si>
  <si>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</si>
  <si>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</si>
  <si>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</si>
  <si>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</si>
  <si>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</si>
  <si>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</si>
  <si>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</si>
  <si>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</si>
  <si>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</si>
  <si>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</si>
  <si>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</si>
  <si>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</si>
  <si>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</si>
  <si>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</si>
  <si>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</si>
  <si>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</si>
  <si>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</si>
  <si>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</si>
  <si>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</si>
  <si>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</si>
  <si>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</si>
  <si>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</si>
  <si>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</si>
  <si>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</si>
  <si>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</si>
  <si>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</si>
  <si>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</si>
  <si>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</si>
  <si>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</si>
  <si>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</si>
  <si>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</si>
  <si>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</si>
  <si>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</si>
  <si>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</si>
  <si>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</si>
  <si>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</si>
  <si>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</si>
  <si>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</si>
  <si>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</si>
  <si>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</si>
  <si>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</si>
  <si>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</si>
  <si>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</si>
  <si>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</si>
  <si>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</si>
  <si>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</si>
  <si>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</si>
  <si>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</si>
  <si>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</si>
  <si>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</si>
  <si>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</si>
  <si>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</si>
  <si>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</si>
  <si>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</si>
  <si>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</si>
  <si>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</si>
  <si>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</si>
  <si>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</si>
  <si>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</si>
  <si>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</si>
  <si>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</si>
  <si>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</si>
  <si>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</si>
  <si>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</si>
  <si>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</si>
  <si>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</si>
  <si>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</si>
  <si>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</si>
  <si>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</si>
  <si>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</si>
  <si>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</si>
  <si>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</si>
  <si>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</si>
  <si>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</si>
  <si>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</si>
  <si>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</si>
  <si>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</si>
  <si>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</si>
  <si>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</si>
  <si>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</si>
  <si>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</si>
  <si>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</si>
  <si>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</si>
  <si>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</si>
  <si>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</si>
  <si>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</si>
  <si>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</si>
  <si>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</si>
  <si>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</si>
  <si>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</si>
  <si>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</si>
  <si>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</si>
  <si>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</si>
  <si>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</si>
  <si>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</si>
  <si>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</si>
  <si>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</si>
  <si>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</si>
  <si>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</si>
  <si>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</si>
  <si>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</si>
  <si>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</si>
  <si>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</si>
  <si>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</si>
  <si>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</si>
  <si>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</si>
  <si>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</si>
  <si>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</si>
  <si>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</si>
  <si>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</si>
  <si>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</si>
  <si>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</si>
  <si>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</si>
  <si>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</si>
  <si>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</si>
  <si>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</si>
  <si>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</si>
  <si>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</si>
  <si>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</si>
  <si>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</si>
  <si>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</si>
  <si>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</si>
  <si>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</si>
  <si>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</si>
  <si>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</si>
  <si>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</si>
  <si>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</si>
  <si>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</si>
  <si>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</si>
  <si>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</si>
  <si>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</si>
  <si>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</si>
  <si>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</si>
  <si>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</si>
  <si>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</si>
  <si>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</si>
  <si>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</si>
  <si>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</si>
  <si>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</si>
  <si>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</si>
  <si>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</si>
  <si>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</si>
  <si>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</si>
  <si>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</si>
  <si>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</si>
  <si>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</si>
  <si>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</si>
  <si>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</si>
  <si>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</si>
  <si>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</si>
  <si>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</si>
  <si>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</si>
  <si>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</si>
  <si>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</si>
  <si>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</si>
  <si>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</si>
  <si>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</si>
  <si>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</si>
  <si>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</si>
  <si>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</si>
  <si>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</si>
  <si>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</si>
  <si>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</si>
  <si>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</si>
  <si>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</si>
  <si>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</si>
  <si>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</si>
  <si>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</si>
  <si>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</si>
  <si>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</si>
  <si>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</si>
  <si>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</si>
  <si>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</si>
  <si>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</si>
  <si>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</si>
  <si>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</si>
  <si>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</si>
  <si>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</si>
  <si>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</si>
  <si>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</si>
  <si>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</si>
  <si>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</si>
  <si>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</si>
  <si>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</si>
  <si>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</si>
  <si>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</si>
  <si>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</si>
  <si>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</si>
  <si>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</si>
  <si>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</si>
  <si>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</si>
  <si>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</si>
  <si>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</si>
  <si>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</si>
  <si>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</si>
  <si>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</si>
  <si>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</si>
  <si>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</si>
  <si>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</si>
  <si>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</si>
  <si>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</si>
  <si>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</si>
  <si>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</si>
  <si>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</si>
  <si>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</si>
  <si>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</si>
  <si>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</si>
  <si>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</si>
  <si>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</si>
  <si>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</si>
  <si>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</si>
  <si>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</si>
  <si>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</si>
  <si>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</si>
  <si>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</si>
  <si>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</si>
  <si>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</si>
  <si>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</si>
  <si>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</si>
  <si>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</si>
  <si>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</si>
  <si>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</si>
  <si>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</si>
  <si>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</si>
  <si>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</si>
  <si>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</si>
  <si>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</si>
  <si>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</si>
  <si>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</si>
  <si>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</si>
  <si>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</si>
  <si>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</si>
  <si>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</si>
  <si>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</si>
  <si>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</si>
  <si>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</si>
  <si>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</si>
  <si>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</si>
  <si>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</si>
  <si>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</si>
  <si>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</si>
  <si>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</si>
  <si>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</si>
  <si>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</si>
  <si>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</si>
  <si>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</si>
  <si>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</si>
  <si>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</si>
  <si>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</si>
  <si>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</si>
  <si>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</si>
  <si>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</si>
  <si>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</si>
  <si>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</si>
  <si>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</si>
  <si>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</si>
  <si>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</si>
  <si>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</si>
  <si>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</si>
  <si>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</si>
  <si>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</si>
  <si>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</si>
  <si>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</si>
  <si>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</si>
  <si>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</si>
  <si>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</si>
  <si>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</si>
  <si>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</si>
  <si>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</si>
  <si>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</si>
  <si>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</si>
  <si>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</si>
  <si>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</si>
  <si>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</si>
  <si>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</si>
  <si>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</si>
  <si>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</si>
  <si>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</si>
  <si>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</si>
  <si>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</si>
  <si>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</si>
  <si>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</si>
  <si>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</si>
  <si>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</si>
  <si>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</si>
  <si>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</si>
  <si>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</si>
  <si>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</si>
  <si>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</si>
  <si>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</si>
  <si>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</si>
  <si>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</si>
  <si>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</si>
  <si>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</si>
  <si>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</si>
  <si>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</si>
  <si>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</si>
  <si>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</si>
  <si>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</si>
  <si>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</si>
  <si>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</si>
  <si>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</si>
  <si>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</si>
  <si>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</si>
  <si>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</si>
  <si>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</si>
  <si>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</si>
  <si>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</si>
  <si>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</si>
  <si>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</si>
  <si>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</si>
  <si>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</si>
  <si>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</si>
  <si>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</si>
  <si>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</si>
  <si>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</si>
  <si>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</si>
  <si>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</si>
  <si>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</si>
  <si>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</si>
  <si>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</si>
  <si>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</si>
  <si>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</si>
  <si>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</si>
  <si>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</si>
  <si>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</si>
  <si>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</si>
  <si>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</si>
  <si>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</si>
  <si>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</si>
  <si>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</si>
  <si>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</si>
  <si>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</si>
  <si>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</si>
  <si>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</si>
  <si>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</si>
  <si>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</si>
  <si>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</si>
  <si>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</si>
  <si>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</si>
  <si>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</si>
  <si>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</si>
  <si>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</si>
  <si>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</si>
  <si>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</si>
  <si>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</si>
  <si>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</si>
  <si>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</si>
  <si>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</si>
  <si>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</si>
  <si>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</si>
  <si>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</si>
  <si>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</si>
  <si>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</si>
  <si>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</si>
  <si>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</si>
  <si>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</si>
  <si>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</si>
  <si>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</si>
  <si>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</si>
  <si>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</si>
  <si>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</si>
  <si>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</si>
  <si>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</si>
  <si>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</si>
  <si>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</si>
  <si>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</si>
  <si>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</si>
  <si>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</si>
  <si>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</si>
  <si>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</si>
  <si>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</si>
  <si>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</si>
  <si>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</si>
  <si>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</si>
  <si>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</si>
  <si>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</si>
  <si>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</si>
  <si>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</si>
  <si>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</si>
  <si>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</si>
  <si>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</si>
  <si>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</si>
  <si>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</si>
  <si>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</si>
  <si>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</si>
  <si>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</si>
  <si>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</si>
  <si>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</si>
  <si>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</si>
  <si>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</si>
  <si>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</si>
  <si>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</si>
  <si>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</si>
  <si>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</si>
  <si>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</si>
  <si>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</si>
  <si>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</si>
  <si>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</si>
  <si>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</si>
  <si>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</si>
  <si>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</si>
  <si>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</si>
  <si>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</si>
  <si>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</si>
  <si>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</si>
  <si>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</si>
  <si>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</si>
  <si>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</si>
  <si>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</si>
  <si>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</si>
  <si>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</si>
  <si>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</si>
  <si>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</si>
  <si>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</si>
  <si>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</si>
  <si>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</si>
  <si>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</si>
  <si>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</si>
  <si>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</si>
  <si>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</si>
  <si>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</si>
  <si>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</si>
  <si>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</si>
  <si>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</si>
  <si>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</si>
  <si>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</si>
  <si>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</si>
  <si>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</si>
  <si>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</si>
  <si>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</si>
  <si>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</si>
  <si>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</si>
  <si>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</si>
  <si>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</si>
  <si>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</si>
  <si>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</si>
  <si>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</si>
  <si>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</si>
  <si>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</si>
  <si>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</si>
  <si>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</si>
  <si>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</si>
  <si>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</si>
  <si>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</si>
  <si>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</si>
  <si>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</si>
  <si>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</si>
  <si>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</si>
  <si>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</si>
  <si>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</si>
  <si>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</si>
  <si>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</si>
  <si>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</si>
  <si>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</si>
  <si>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</si>
  <si>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</si>
  <si>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</si>
  <si>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</si>
  <si>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</si>
  <si>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</si>
  <si>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</si>
  <si>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</si>
  <si>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</si>
  <si>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</si>
  <si>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</si>
  <si>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</si>
  <si>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</si>
  <si>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</si>
  <si>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</si>
  <si>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</si>
  <si>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</si>
  <si>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</si>
  <si>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</si>
  <si>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</si>
  <si>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</si>
  <si>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</si>
  <si>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</si>
  <si>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</si>
  <si>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</si>
  <si>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</si>
  <si>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</si>
  <si>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</si>
  <si>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</si>
  <si>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</si>
  <si>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</si>
  <si>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</si>
  <si>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</si>
  <si>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</si>
  <si>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</si>
  <si>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</si>
  <si>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</si>
  <si>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</si>
  <si>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</si>
  <si>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</si>
  <si>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</si>
  <si>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</si>
  <si>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</si>
  <si>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</si>
  <si>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</si>
  <si>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</si>
  <si>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</si>
  <si>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</si>
  <si>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</si>
  <si>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</si>
  <si>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</si>
  <si>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</si>
  <si>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</si>
  <si>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</si>
  <si>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</si>
  <si>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</si>
  <si>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</si>
  <si>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</si>
  <si>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</si>
  <si>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</si>
  <si>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</si>
  <si>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</si>
  <si>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</si>
  <si>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</si>
  <si>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</si>
  <si>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</si>
  <si>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</si>
  <si>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</si>
  <si>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</si>
  <si>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</si>
  <si>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</si>
  <si>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</si>
  <si>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</si>
  <si>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</si>
  <si>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</si>
  <si>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</si>
  <si>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</si>
  <si>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</si>
  <si>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</si>
  <si>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</si>
  <si>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</si>
  <si>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</si>
  <si>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</si>
  <si>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</si>
  <si>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</si>
  <si>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</si>
  <si>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</si>
  <si>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</si>
  <si>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</si>
  <si>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</si>
  <si>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</si>
  <si>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</si>
  <si>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</si>
  <si>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</si>
  <si>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</si>
  <si>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</si>
  <si>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</si>
  <si>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</si>
  <si>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</si>
  <si>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</si>
  <si>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</si>
  <si>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</si>
  <si>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</si>
  <si>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</si>
  <si>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</si>
  <si>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</si>
  <si>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</si>
  <si>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</si>
  <si>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</si>
  <si>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</si>
  <si>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</si>
  <si>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</si>
  <si>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</si>
  <si>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</si>
  <si>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</si>
  <si>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</si>
  <si>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</si>
  <si>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</si>
  <si>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</si>
  <si>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</si>
  <si>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</si>
  <si>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</si>
  <si>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</si>
  <si>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</si>
  <si>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</si>
  <si>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</si>
  <si>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</si>
  <si>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</si>
  <si>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</si>
  <si>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</si>
  <si>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</si>
  <si>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</si>
  <si>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</si>
  <si>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</si>
  <si>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</si>
  <si>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</si>
  <si>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</si>
  <si>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</si>
  <si>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</si>
  <si>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</si>
  <si>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</si>
  <si>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</si>
  <si>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</si>
  <si>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</si>
  <si>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</si>
  <si>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</si>
  <si>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</si>
  <si>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</si>
  <si>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</si>
  <si>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</si>
  <si>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</si>
  <si>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</si>
  <si>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</si>
  <si>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</si>
  <si>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</si>
  <si>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</si>
  <si>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</si>
  <si>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</si>
  <si>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</si>
  <si>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</si>
  <si>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</si>
  <si>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</si>
  <si>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</si>
  <si>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</si>
  <si>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</si>
  <si>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</si>
  <si>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</si>
  <si>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</si>
  <si>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</si>
  <si>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</si>
  <si>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</si>
  <si>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</si>
  <si>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</si>
  <si>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</si>
  <si>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</si>
  <si>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</si>
  <si>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</si>
  <si>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</si>
  <si>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</si>
  <si>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</si>
  <si>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</si>
  <si>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</si>
  <si>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</si>
  <si>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</si>
  <si>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</si>
  <si>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</si>
  <si>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</si>
  <si>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</si>
  <si>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</si>
  <si>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</si>
  <si>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</si>
  <si>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</si>
  <si>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</si>
  <si>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</si>
  <si>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</si>
  <si>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</si>
  <si>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</si>
  <si>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</si>
  <si>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</si>
  <si>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</si>
  <si>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</si>
  <si>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</si>
  <si>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</si>
  <si>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</si>
  <si>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</si>
  <si>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</si>
  <si>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</si>
  <si>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</si>
  <si>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</si>
  <si>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</si>
  <si>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</si>
  <si>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</si>
  <si>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</si>
  <si>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</si>
  <si>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</si>
  <si>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</si>
  <si>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</si>
  <si>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</si>
  <si>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</si>
  <si>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</si>
  <si>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</si>
  <si>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</si>
  <si>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</si>
  <si>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</si>
  <si>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</si>
  <si>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</si>
  <si>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</si>
  <si>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</si>
  <si>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</si>
  <si>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</si>
  <si>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</si>
  <si>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</si>
  <si>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</si>
  <si>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</si>
  <si>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</si>
  <si>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</si>
  <si>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</si>
  <si>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</si>
  <si>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</si>
  <si>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</si>
  <si>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</si>
  <si>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</si>
  <si>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</si>
  <si>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</si>
  <si>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</si>
  <si>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</si>
  <si>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</si>
  <si>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</si>
  <si>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</si>
  <si>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</si>
  <si>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</si>
  <si>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</si>
  <si>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</si>
  <si>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</si>
  <si>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</si>
  <si>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</si>
  <si>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</si>
  <si>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</si>
  <si>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</si>
  <si>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</si>
  <si>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</si>
  <si>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</si>
  <si>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</si>
  <si>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</si>
  <si>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</si>
  <si>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</si>
  <si>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</si>
  <si>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</si>
  <si>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</si>
  <si>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</si>
  <si>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</si>
  <si>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</si>
  <si>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</si>
  <si>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</si>
  <si>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</si>
  <si>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</si>
  <si>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</si>
  <si>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</si>
  <si>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</si>
  <si>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</si>
  <si>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</si>
  <si>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</si>
  <si>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</si>
  <si>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</si>
  <si>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</si>
  <si>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</si>
  <si>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</si>
  <si>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</si>
  <si>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</si>
  <si>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</si>
  <si>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</si>
  <si>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</si>
  <si>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</si>
  <si>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</si>
  <si>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</si>
  <si>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</si>
  <si>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</si>
  <si>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</si>
  <si>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</si>
  <si>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</si>
  <si>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</si>
  <si>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</si>
  <si>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</si>
  <si>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</si>
  <si>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</si>
  <si>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</si>
  <si>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</si>
  <si>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</si>
  <si>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</si>
  <si>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</si>
  <si>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</si>
  <si>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</si>
  <si>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</si>
  <si>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</si>
  <si>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</si>
  <si>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</si>
  <si>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</si>
  <si>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</si>
  <si>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</si>
  <si>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</si>
  <si>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</si>
  <si>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</si>
  <si>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</si>
  <si>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</si>
  <si>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</si>
  <si>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</si>
  <si>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</si>
  <si>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</si>
  <si>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</si>
  <si>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</si>
  <si>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</si>
  <si>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</si>
  <si>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</si>
  <si>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</si>
  <si>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</si>
  <si>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</si>
  <si>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</si>
  <si>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</si>
  <si>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</si>
  <si>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</si>
  <si>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</si>
  <si>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</si>
  <si>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</si>
  <si>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</si>
  <si>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</si>
  <si>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</si>
  <si>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</si>
  <si>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</si>
  <si>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</si>
  <si>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</si>
  <si>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</si>
  <si>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</si>
  <si>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</si>
  <si>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</si>
  <si>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</si>
  <si>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</si>
  <si>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</si>
  <si>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</si>
  <si>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</si>
  <si>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</si>
  <si>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</si>
  <si>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</si>
  <si>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</si>
  <si>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</si>
  <si>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</si>
  <si>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</si>
  <si>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</si>
  <si>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</si>
  <si>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</si>
  <si>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</si>
  <si>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</si>
  <si>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</si>
  <si>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</si>
  <si>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</si>
  <si>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</si>
  <si>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</si>
  <si>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</si>
  <si>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</si>
  <si>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</si>
  <si>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</si>
  <si>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</si>
  <si>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</si>
  <si>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</si>
  <si>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</si>
  <si>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</si>
  <si>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</si>
  <si>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</si>
  <si>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</si>
  <si>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</si>
  <si>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</si>
  <si>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</si>
  <si>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</si>
  <si>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</si>
  <si>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</si>
  <si>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</si>
  <si>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</si>
  <si>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</si>
  <si>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</si>
  <si>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</si>
  <si>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</si>
  <si>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</si>
  <si>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</si>
  <si>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</si>
  <si>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</si>
  <si>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</si>
  <si>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</si>
  <si>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</si>
  <si>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</si>
  <si>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</si>
  <si>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</si>
  <si>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</si>
  <si>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</si>
  <si>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</si>
  <si>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</si>
  <si>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</si>
  <si>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</si>
  <si>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</si>
  <si>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</si>
  <si>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</si>
  <si>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</si>
  <si>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</si>
  <si>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</si>
  <si>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</si>
  <si>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</si>
  <si>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</si>
  <si>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</si>
  <si>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</si>
  <si>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</si>
  <si>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</si>
  <si>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</si>
  <si>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</si>
  <si>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</si>
  <si>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</si>
  <si>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</si>
  <si>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</si>
  <si>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</si>
  <si>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</si>
  <si>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</si>
  <si>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</si>
  <si>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</si>
  <si>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</si>
  <si>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</si>
  <si>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</si>
  <si>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</si>
  <si>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</si>
  <si>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</si>
  <si>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</si>
  <si>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</si>
  <si>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</si>
  <si>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</si>
  <si>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</si>
  <si>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</si>
  <si>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</si>
  <si>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</si>
  <si>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</si>
  <si>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</si>
  <si>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</si>
  <si>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</si>
  <si>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</si>
  <si>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</si>
  <si>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</si>
  <si>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</si>
  <si>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</si>
  <si>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</si>
  <si>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</si>
  <si>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</si>
  <si>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</si>
  <si>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</si>
  <si>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</si>
  <si>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</si>
  <si>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</si>
  <si>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</si>
  <si>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</si>
  <si>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</si>
  <si>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</si>
  <si>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</si>
  <si>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</si>
  <si>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</si>
  <si>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</si>
  <si>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</si>
  <si>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</si>
  <si>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</si>
  <si>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</si>
  <si>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</si>
  <si>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</si>
  <si>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</si>
  <si>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</si>
  <si>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</si>
  <si>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</si>
  <si>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</si>
  <si>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</si>
  <si>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</si>
  <si>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</si>
  <si>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</si>
  <si>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</si>
  <si>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</si>
  <si>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</si>
  <si>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</si>
  <si>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</si>
  <si>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</si>
  <si>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</si>
  <si>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</si>
  <si>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</si>
  <si>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</si>
  <si>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</si>
  <si>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</si>
  <si>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</si>
  <si>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</si>
  <si>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</si>
  <si>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</si>
  <si>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</si>
  <si>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</si>
  <si>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</si>
  <si>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</si>
  <si>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</si>
  <si>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</si>
  <si>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</si>
  <si>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</si>
  <si>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</si>
  <si>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</si>
  <si>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</si>
  <si>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</si>
  <si>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</si>
  <si>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</si>
  <si>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</si>
  <si>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</si>
  <si>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</si>
  <si>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</si>
  <si>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</si>
  <si>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</si>
  <si>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</si>
  <si>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</si>
  <si>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</si>
  <si>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</si>
  <si>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</si>
  <si>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</si>
  <si>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</si>
  <si>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</si>
  <si>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</si>
  <si>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</si>
  <si>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</si>
  <si>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</si>
  <si>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</si>
  <si>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</si>
  <si>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</si>
  <si>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</si>
  <si>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</si>
  <si>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</si>
  <si>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</si>
  <si>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</si>
  <si>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</si>
  <si>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</si>
  <si>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</si>
  <si>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</si>
  <si>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</si>
  <si>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</si>
  <si>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</si>
  <si>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</si>
  <si>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</si>
  <si>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</si>
  <si>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</si>
  <si>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</si>
  <si>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</si>
  <si>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</si>
  <si>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</si>
  <si>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</si>
  <si>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</si>
  <si>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</si>
  <si>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</si>
  <si>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</si>
  <si>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</si>
  <si>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</si>
  <si>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</si>
  <si>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</si>
  <si>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</si>
  <si>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</si>
  <si>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</si>
  <si>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</si>
  <si>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</si>
  <si>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</si>
  <si>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</si>
  <si>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</si>
  <si>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</si>
  <si>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</si>
  <si>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</si>
  <si>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</si>
  <si>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</si>
  <si>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</si>
  <si>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</si>
  <si>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</si>
  <si>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</si>
  <si>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</si>
  <si>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</si>
  <si>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</si>
  <si>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</si>
  <si>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</si>
  <si>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</si>
  <si>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</si>
  <si>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</si>
  <si>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</si>
  <si>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</si>
  <si>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</si>
  <si>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</si>
  <si>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</si>
  <si>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</si>
  <si>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</si>
  <si>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</si>
  <si>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</si>
  <si>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</si>
  <si>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</si>
  <si>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</si>
  <si>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</si>
  <si>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</si>
  <si>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</si>
  <si>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</si>
  <si>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</si>
  <si>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</si>
  <si>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</si>
  <si>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</si>
  <si>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</si>
  <si>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</si>
  <si>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</si>
  <si>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</si>
  <si>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</si>
  <si>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</si>
  <si>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</si>
  <si>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</si>
  <si>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</si>
  <si>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</si>
  <si>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</si>
  <si>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</si>
  <si>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</si>
  <si>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</si>
  <si>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</si>
  <si>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</si>
  <si>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</si>
  <si>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</si>
  <si>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</si>
  <si>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</si>
  <si>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</si>
  <si>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</si>
  <si>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</si>
  <si>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</si>
  <si>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</si>
  <si>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</si>
  <si>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</si>
  <si>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</si>
  <si>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</si>
  <si>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</si>
  <si>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</si>
  <si>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</si>
  <si>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</si>
  <si>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</si>
  <si>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</si>
  <si>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</si>
  <si>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</si>
  <si>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</si>
  <si>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</si>
  <si>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</si>
  <si>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</si>
  <si>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</si>
  <si>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</si>
  <si>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</si>
  <si>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</si>
  <si>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</si>
  <si>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</si>
  <si>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</si>
  <si>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</si>
  <si>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</si>
  <si>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</si>
  <si>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</si>
  <si>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</si>
  <si>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</si>
  <si>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</si>
  <si>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</si>
  <si>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</si>
  <si>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</si>
  <si>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</si>
  <si>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</si>
  <si>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</si>
  <si>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</si>
  <si>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</si>
  <si>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</si>
  <si>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</si>
  <si>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</si>
  <si>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</si>
  <si>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</si>
  <si>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</si>
  <si>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</si>
  <si>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</si>
  <si>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</si>
  <si>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</si>
  <si>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</si>
  <si>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</si>
  <si>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</si>
  <si>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</si>
  <si>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</si>
  <si>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</si>
  <si>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</si>
  <si>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</si>
  <si>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</si>
  <si>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</si>
  <si>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</si>
  <si>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</si>
  <si>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</si>
  <si>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</si>
  <si>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</si>
  <si>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</si>
  <si>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</si>
  <si>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</si>
  <si>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</si>
  <si>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</si>
  <si>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</si>
  <si>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</si>
  <si>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</si>
  <si>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</si>
  <si>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</si>
  <si>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</si>
  <si>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</si>
  <si>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</si>
  <si>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</si>
  <si>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</si>
  <si>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</si>
  <si>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</si>
  <si>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</si>
  <si>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</si>
  <si>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</si>
  <si>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</si>
  <si>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</si>
  <si>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</si>
  <si>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</si>
  <si>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</si>
  <si>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</si>
  <si>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</si>
  <si>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</si>
  <si>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</si>
  <si>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</si>
  <si>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</si>
  <si>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</si>
  <si>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</si>
  <si>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</si>
  <si>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</si>
  <si>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</si>
  <si>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</si>
  <si>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</si>
  <si>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</si>
  <si>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</si>
  <si>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</si>
  <si>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</si>
  <si>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</si>
  <si>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</si>
  <si>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</si>
  <si>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</si>
  <si>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</si>
  <si>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</si>
  <si>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</si>
  <si>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</si>
  <si>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</si>
  <si>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</si>
  <si>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</si>
  <si>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</si>
  <si>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</si>
  <si>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</si>
  <si>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</si>
  <si>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</si>
  <si>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</si>
  <si>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</si>
  <si>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</si>
  <si>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</si>
  <si>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</si>
  <si>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</si>
  <si>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</si>
  <si>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</si>
  <si>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</si>
  <si>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</si>
  <si>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</si>
  <si>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</si>
  <si>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</si>
  <si>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</si>
  <si>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</si>
  <si>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</si>
  <si>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</si>
  <si>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</si>
  <si>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</si>
  <si>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</si>
  <si>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</si>
  <si>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</si>
  <si>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</si>
  <si>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</si>
  <si>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</si>
  <si>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</si>
  <si>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</si>
  <si>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</si>
  <si>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</si>
  <si>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</si>
  <si>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</si>
  <si>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</si>
  <si>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</si>
  <si>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</si>
  <si>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</si>
  <si>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</si>
  <si>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</si>
  <si>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</si>
  <si>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</si>
  <si>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</si>
  <si>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</si>
  <si>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</si>
  <si>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</si>
  <si>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</si>
  <si>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</si>
  <si>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</si>
  <si>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</si>
  <si>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</si>
  <si>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</si>
  <si>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</si>
  <si>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</si>
  <si>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</si>
  <si>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</si>
  <si>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</si>
  <si>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</si>
  <si>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</si>
  <si>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</si>
  <si>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</si>
  <si>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</si>
  <si>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</si>
  <si>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</si>
  <si>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</si>
  <si>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</si>
  <si>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</si>
  <si>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</si>
  <si>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</si>
  <si>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</si>
  <si>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</si>
  <si>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</si>
  <si>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</si>
  <si>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</si>
  <si>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</si>
  <si>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</si>
  <si>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</si>
  <si>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</si>
  <si>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</si>
  <si>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</si>
  <si>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</si>
  <si>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</si>
  <si>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</si>
  <si>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</si>
  <si>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</si>
  <si>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</si>
  <si>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</si>
  <si>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</si>
  <si>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</si>
  <si>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</si>
  <si>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</si>
  <si>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</si>
  <si>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</si>
  <si>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</si>
  <si>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</si>
  <si>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</si>
  <si>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</si>
  <si>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</si>
  <si>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</si>
  <si>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</si>
  <si>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</si>
  <si>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</si>
  <si>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</si>
  <si>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</si>
  <si>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</si>
  <si>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</si>
  <si>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</si>
  <si>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</si>
  <si>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</si>
  <si>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</si>
  <si>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</si>
  <si>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</si>
  <si>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</si>
  <si>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</si>
  <si>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</si>
  <si>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</si>
  <si>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</si>
  <si>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</si>
  <si>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</si>
  <si>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</si>
  <si>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</si>
  <si>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</si>
  <si>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</si>
  <si>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</si>
  <si>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</si>
  <si>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</si>
  <si>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</si>
  <si>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</si>
  <si>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</si>
  <si>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</si>
  <si>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</si>
  <si>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</si>
  <si>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</si>
  <si>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</si>
  <si>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</si>
  <si>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</si>
  <si>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</si>
  <si>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</si>
  <si>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</si>
  <si>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</si>
  <si>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</si>
  <si>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</si>
  <si>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</si>
  <si>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</si>
  <si>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</si>
  <si>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</si>
  <si>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</si>
  <si>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</si>
  <si>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</si>
  <si>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</si>
  <si>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</si>
  <si>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</si>
  <si>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</si>
  <si>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</si>
  <si>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</si>
  <si>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</si>
  <si>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</si>
  <si>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</si>
  <si>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</si>
  <si>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</si>
  <si>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</si>
  <si>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</si>
  <si>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</si>
  <si>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</si>
  <si>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</si>
  <si>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</si>
  <si>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</si>
  <si>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</si>
  <si>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</si>
  <si>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</si>
  <si>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</si>
  <si>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</si>
  <si>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</si>
  <si>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</si>
  <si>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</si>
  <si>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</si>
  <si>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</si>
  <si>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</si>
  <si>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</si>
  <si>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</si>
  <si>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</si>
  <si>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</si>
  <si>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</si>
  <si>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</si>
  <si>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</si>
  <si>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</si>
  <si>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</si>
  <si>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</si>
  <si>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</si>
  <si>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</si>
  <si>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</si>
  <si>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</si>
  <si>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</si>
  <si>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</si>
  <si>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</si>
  <si>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</si>
  <si>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</si>
  <si>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</si>
  <si>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</si>
  <si>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</si>
  <si>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</si>
  <si>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</si>
  <si>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</si>
  <si>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</si>
  <si>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</si>
  <si>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</si>
  <si>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</si>
  <si>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</si>
  <si>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</si>
  <si>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</si>
  <si>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</si>
  <si>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</si>
  <si>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</si>
  <si>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</si>
  <si>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</si>
  <si>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</si>
  <si>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</si>
  <si>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</si>
  <si>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</si>
  <si>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</si>
  <si>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</si>
  <si>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</si>
  <si>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</si>
  <si>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</si>
  <si>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</si>
  <si>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</si>
  <si>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</si>
  <si>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</si>
  <si>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</si>
  <si>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</si>
  <si>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</si>
  <si>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</si>
  <si>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</si>
  <si>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</si>
  <si>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</si>
  <si>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</si>
  <si>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</si>
  <si>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</si>
  <si>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</si>
  <si>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</si>
  <si>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</si>
  <si>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</si>
  <si>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</si>
  <si>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</si>
  <si>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</si>
  <si>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</si>
  <si>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</si>
  <si>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</si>
  <si>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</si>
  <si>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</si>
  <si>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</si>
  <si>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</si>
  <si>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</si>
  <si>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</si>
  <si>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</si>
  <si>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</si>
  <si>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</si>
  <si>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</si>
  <si>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</si>
  <si>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</si>
  <si>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</si>
  <si>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</si>
  <si>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</si>
  <si>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</si>
  <si>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</si>
  <si>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</si>
  <si>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</si>
  <si>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</si>
  <si>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</si>
  <si>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</si>
  <si>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</si>
  <si>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</si>
  <si>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</si>
  <si>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</si>
  <si>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</si>
  <si>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</si>
  <si>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</si>
  <si>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</si>
  <si>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</si>
  <si>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</si>
  <si>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</si>
  <si>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</si>
  <si>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</si>
  <si>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</si>
  <si>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</si>
  <si>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</si>
  <si>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</si>
  <si>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</si>
  <si>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</si>
  <si>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</si>
  <si>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</si>
  <si>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</si>
  <si>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</si>
  <si>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</si>
  <si>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</si>
  <si>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</si>
  <si>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</si>
  <si>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</si>
  <si>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</si>
  <si>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</si>
  <si>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</si>
  <si>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</si>
  <si>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</si>
  <si>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</si>
  <si>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</si>
  <si>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</si>
  <si>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</si>
  <si>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</si>
  <si>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</si>
  <si>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</si>
  <si>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</si>
  <si>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</si>
  <si>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</si>
  <si>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</si>
  <si>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</si>
  <si>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</si>
  <si>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</si>
  <si>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</si>
  <si>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</si>
  <si>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</si>
  <si>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</si>
  <si>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</si>
  <si>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</si>
  <si>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</si>
  <si>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</si>
  <si>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</si>
  <si>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</si>
  <si>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</si>
  <si>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</si>
  <si>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</si>
  <si>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</si>
  <si>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</si>
  <si>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</si>
  <si>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</si>
  <si>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</si>
  <si>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</si>
  <si>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</si>
  <si>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</si>
  <si>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</si>
  <si>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</si>
  <si>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</si>
  <si>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</si>
  <si>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</si>
  <si>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</si>
  <si>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</si>
  <si>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</si>
  <si>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</si>
  <si>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</si>
  <si>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</si>
  <si>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</si>
  <si>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</si>
  <si>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</si>
  <si>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</si>
  <si>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</si>
  <si>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</si>
  <si>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</si>
  <si>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</si>
  <si>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</si>
  <si>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</si>
  <si>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</si>
  <si>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</si>
  <si>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</si>
  <si>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</si>
  <si>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</si>
  <si>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</si>
  <si>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</si>
  <si>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</si>
  <si>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</si>
  <si>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</si>
  <si>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</si>
  <si>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</si>
  <si>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</si>
  <si>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</si>
  <si>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</si>
  <si>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</si>
  <si>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</si>
  <si>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</si>
  <si>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</si>
  <si>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</si>
  <si>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</si>
  <si>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</si>
  <si>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</si>
  <si>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</si>
  <si>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</si>
  <si>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</si>
  <si>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</si>
  <si>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</si>
  <si>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</si>
  <si>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</si>
  <si>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</si>
  <si>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</si>
  <si>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</si>
  <si>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</si>
  <si>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</si>
  <si>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</si>
  <si>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</si>
  <si>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</si>
  <si>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</si>
  <si>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</si>
  <si>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</si>
  <si>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</si>
  <si>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</si>
  <si>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</si>
  <si>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</si>
  <si>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</si>
  <si>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</si>
  <si>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</si>
  <si>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</si>
  <si>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</si>
  <si>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</si>
  <si>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</si>
  <si>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</si>
  <si>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</si>
  <si>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</si>
  <si>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</si>
  <si>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</si>
  <si>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</si>
  <si>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</si>
  <si>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</si>
  <si>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</si>
  <si>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</si>
  <si>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</si>
  <si>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</si>
  <si>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</si>
  <si>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</si>
  <si>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</si>
  <si>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</si>
  <si>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</si>
  <si>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</si>
  <si>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</si>
  <si>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</si>
  <si>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</si>
  <si>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</si>
  <si>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</si>
  <si>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</si>
  <si>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</si>
  <si>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</si>
  <si>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</si>
  <si>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</si>
  <si>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</si>
  <si>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</si>
  <si>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</si>
  <si>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</si>
  <si>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</si>
  <si>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</si>
  <si>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</si>
  <si>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</si>
  <si>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</si>
  <si>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</si>
  <si>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</si>
  <si>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</si>
  <si>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</si>
  <si>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</si>
  <si>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</si>
  <si>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</si>
  <si>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</si>
  <si>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</si>
  <si>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</si>
  <si>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</si>
  <si>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</si>
  <si>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</si>
  <si>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</si>
  <si>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</si>
  <si>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</si>
  <si>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</si>
  <si>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</si>
  <si>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</si>
  <si>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</si>
  <si>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</si>
  <si>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</si>
  <si>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</si>
  <si>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</si>
  <si>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</si>
  <si>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</si>
  <si>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</si>
  <si>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</si>
  <si>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</si>
  <si>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</si>
  <si>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</si>
  <si>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</si>
  <si>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</si>
  <si>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</si>
  <si>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</si>
  <si>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</si>
  <si>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</si>
  <si>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</si>
  <si>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</si>
  <si>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</si>
  <si>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</si>
  <si>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</si>
  <si>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</si>
  <si>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</si>
  <si>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</si>
  <si>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</si>
  <si>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</si>
  <si>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</si>
  <si>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</si>
  <si>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</si>
  <si>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</si>
  <si>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</si>
  <si>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</si>
  <si>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</si>
  <si>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</si>
  <si>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</si>
  <si>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</si>
  <si>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</si>
  <si>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</si>
  <si>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</si>
  <si>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</si>
  <si>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</si>
  <si>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</si>
  <si>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</si>
  <si>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</si>
  <si>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</si>
  <si>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</si>
  <si>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</si>
  <si>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</si>
  <si>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</si>
  <si>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</si>
  <si>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</si>
  <si>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</si>
  <si>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</si>
  <si>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</si>
  <si>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</si>
  <si>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</si>
  <si>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</si>
  <si>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</si>
  <si>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</si>
  <si>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</si>
  <si>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</si>
  <si>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</si>
  <si>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</si>
  <si>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</si>
  <si>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</si>
  <si>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</si>
  <si>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</si>
  <si>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</si>
  <si>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</si>
  <si>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</si>
  <si>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</si>
  <si>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</si>
  <si>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</si>
  <si>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</si>
  <si>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</si>
  <si>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</si>
  <si>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</si>
  <si>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</si>
  <si>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</si>
  <si>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</si>
  <si>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</si>
  <si>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</si>
  <si>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</si>
  <si>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</si>
  <si>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</si>
  <si>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</si>
  <si>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</si>
  <si>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</si>
  <si>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</si>
  <si>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</si>
  <si>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</si>
  <si>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</si>
  <si>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</si>
  <si>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</si>
  <si>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</si>
  <si>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</si>
  <si>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</si>
  <si>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</si>
  <si>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</si>
  <si>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</si>
  <si>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</si>
  <si>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</si>
  <si>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</si>
  <si>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</si>
  <si>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</si>
  <si>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</si>
  <si>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</si>
  <si>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</si>
  <si>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</si>
  <si>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</si>
  <si>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</si>
  <si>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</si>
  <si>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</si>
  <si>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</si>
  <si>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</si>
  <si>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</si>
  <si>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</si>
  <si>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</si>
  <si>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</si>
  <si>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</si>
  <si>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</si>
  <si>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</si>
  <si>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</si>
  <si>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</si>
  <si>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</si>
  <si>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</si>
  <si>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</si>
  <si>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</si>
  <si>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</si>
  <si>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</si>
  <si>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</si>
  <si>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</si>
  <si>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</si>
  <si>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</si>
  <si>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</si>
  <si>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</si>
  <si>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</si>
  <si>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</si>
  <si>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</si>
  <si>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</si>
  <si>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</si>
  <si>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</si>
  <si>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</si>
  <si>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</si>
  <si>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</si>
  <si>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</si>
  <si>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</si>
  <si>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</si>
  <si>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</si>
  <si>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</si>
  <si>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</si>
  <si>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</si>
  <si>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</si>
  <si>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</si>
  <si>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</si>
  <si>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</si>
  <si>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</si>
  <si>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</si>
  <si>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</si>
  <si>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</si>
  <si>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</si>
  <si>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</si>
  <si>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</si>
  <si>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</si>
  <si>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</si>
  <si>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</si>
  <si>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</si>
  <si>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</si>
  <si>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</si>
  <si>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</si>
  <si>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</si>
  <si>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</si>
  <si>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</si>
  <si>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</si>
  <si>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</si>
  <si>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</si>
  <si>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</si>
  <si>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</si>
  <si>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</si>
  <si>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</si>
  <si>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</si>
  <si>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</si>
  <si>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</si>
  <si>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</si>
  <si>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</si>
  <si>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</si>
  <si>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</si>
  <si>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</si>
  <si>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</si>
  <si>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</si>
  <si>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</si>
  <si>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</si>
  <si>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</si>
  <si>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</si>
  <si>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</si>
  <si>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</si>
  <si>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</si>
  <si>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</si>
  <si>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</si>
  <si>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</si>
  <si>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</si>
  <si>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</si>
  <si>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</si>
  <si>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</si>
  <si>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</si>
  <si>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</si>
  <si>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</si>
  <si>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</si>
  <si>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</si>
  <si>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</si>
  <si>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</si>
  <si>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</si>
  <si>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</si>
  <si>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</si>
  <si>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</si>
  <si>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</si>
  <si>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</si>
  <si>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</si>
  <si>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</si>
  <si>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</si>
  <si>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</si>
  <si>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</si>
  <si>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</si>
  <si>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</si>
  <si>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</si>
  <si>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</si>
  <si>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</si>
  <si>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</si>
  <si>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</si>
  <si>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</si>
  <si>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</si>
  <si>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</si>
  <si>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</si>
  <si>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</si>
  <si>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</si>
  <si>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</si>
  <si>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</si>
  <si>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</si>
  <si>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</si>
  <si>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</si>
  <si>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</si>
  <si>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</si>
  <si>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</si>
  <si>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</si>
  <si>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</si>
  <si>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</si>
  <si>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</si>
  <si>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</si>
  <si>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</si>
  <si>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</si>
  <si>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</si>
  <si>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</si>
  <si>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</si>
  <si>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</si>
  <si>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</si>
  <si>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</si>
  <si>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</si>
  <si>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</si>
  <si>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</si>
  <si>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</si>
  <si>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</si>
  <si>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</si>
  <si>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</si>
  <si>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</si>
  <si>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</si>
  <si>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</si>
  <si>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</si>
  <si>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</si>
  <si>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</si>
  <si>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</si>
  <si>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</si>
  <si>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</si>
  <si>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</si>
  <si>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</si>
  <si>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</si>
  <si>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</si>
  <si>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</si>
  <si>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</si>
  <si>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</si>
  <si>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</si>
  <si>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</si>
  <si>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</si>
  <si>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</si>
  <si>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</si>
  <si>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</si>
  <si>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</si>
  <si>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</si>
  <si>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</si>
  <si>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</si>
  <si>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</si>
  <si>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</si>
  <si>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</si>
  <si>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</si>
  <si>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</si>
  <si>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</si>
  <si>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</si>
  <si>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</si>
  <si>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</si>
  <si>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</si>
  <si>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</si>
  <si>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</si>
  <si>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</si>
  <si>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</si>
  <si>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</si>
  <si>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</si>
  <si>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</si>
  <si>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</si>
  <si>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</si>
  <si>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</si>
  <si>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</si>
  <si>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</si>
  <si>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</si>
  <si>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</si>
  <si>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</si>
  <si>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</si>
  <si>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</si>
  <si>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</si>
  <si>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</si>
  <si>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</si>
  <si>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</si>
  <si>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</si>
  <si>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</si>
  <si>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</si>
  <si>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</si>
  <si>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</si>
  <si>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</si>
  <si>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</si>
  <si>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</si>
  <si>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</si>
  <si>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</si>
  <si>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</si>
  <si>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</si>
  <si>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</si>
  <si>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</si>
  <si>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</si>
  <si>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</si>
  <si>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</si>
  <si>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</si>
  <si>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</si>
  <si>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</si>
  <si>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</si>
  <si>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</si>
  <si>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</si>
  <si>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</si>
  <si>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</si>
  <si>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</si>
  <si>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</si>
  <si>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</si>
  <si>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</si>
  <si>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</si>
  <si>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</si>
  <si>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</si>
  <si>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</si>
  <si>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</si>
  <si>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</si>
  <si>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</si>
  <si>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</si>
  <si>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</si>
  <si>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</si>
  <si>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</si>
  <si>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</si>
  <si>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</si>
  <si>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</si>
  <si>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</si>
  <si>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</si>
  <si>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</si>
  <si>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</si>
  <si>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</si>
  <si>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</si>
  <si>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</si>
  <si>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</si>
  <si>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</si>
  <si>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</si>
  <si>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</si>
  <si>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</si>
  <si>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</si>
  <si>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</si>
  <si>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</si>
  <si>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</si>
  <si>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</si>
  <si>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</si>
  <si>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</si>
  <si>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</si>
  <si>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</si>
  <si>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</si>
  <si>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</si>
  <si>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</si>
  <si>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</si>
  <si>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</si>
  <si>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</si>
  <si>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</si>
  <si>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</si>
  <si>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</si>
  <si>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</si>
  <si>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</si>
  <si>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</si>
  <si>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</si>
  <si>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</si>
  <si>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</si>
  <si>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</si>
  <si>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</si>
  <si>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</si>
  <si>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</si>
  <si>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</si>
  <si>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</si>
  <si>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</si>
  <si>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</si>
  <si>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</si>
  <si>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</si>
  <si>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</si>
  <si>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</si>
  <si>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</si>
  <si>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</si>
  <si>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</si>
  <si>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</si>
  <si>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</si>
  <si>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</si>
  <si>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</si>
  <si>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</si>
  <si>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</si>
  <si>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</si>
  <si>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</si>
  <si>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</si>
  <si>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</si>
  <si>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</si>
  <si>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</si>
  <si>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</si>
  <si>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</si>
  <si>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</si>
  <si>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</si>
  <si>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</si>
  <si>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</si>
  <si>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</si>
  <si>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</si>
  <si>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</si>
  <si>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</si>
  <si>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</si>
  <si>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</si>
  <si>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</si>
  <si>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</si>
  <si>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</si>
  <si>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</si>
  <si>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</si>
  <si>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</si>
  <si>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</si>
  <si>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</si>
  <si>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</si>
  <si>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</si>
  <si>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</si>
  <si>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</si>
  <si>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</si>
  <si>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</si>
  <si>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</si>
  <si>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</si>
  <si>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</si>
  <si>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</si>
  <si>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</si>
  <si>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</si>
  <si>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</si>
  <si>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</si>
  <si>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</si>
  <si>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</si>
  <si>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</si>
  <si>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</si>
  <si>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</si>
  <si>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</si>
  <si>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</si>
  <si>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</si>
  <si>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</si>
  <si>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</si>
  <si>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</si>
  <si>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</si>
  <si>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</si>
  <si>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</si>
  <si>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</si>
  <si>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</si>
  <si>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</si>
  <si>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</si>
  <si>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</si>
  <si>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</si>
  <si>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</si>
  <si>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</si>
  <si>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</si>
  <si>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</si>
  <si>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</si>
  <si>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</si>
  <si>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</si>
  <si>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</si>
  <si>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</si>
  <si>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</si>
  <si>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</si>
  <si>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</si>
  <si>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</si>
  <si>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</si>
  <si>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</si>
  <si>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</si>
  <si>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</si>
  <si>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</si>
  <si>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</si>
  <si>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</si>
  <si>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</si>
  <si>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</si>
  <si>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</si>
  <si>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</si>
  <si>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</si>
  <si>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</si>
  <si>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</si>
  <si>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</si>
  <si>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</si>
  <si>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</si>
  <si>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</si>
  <si>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</si>
  <si>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</si>
  <si>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</si>
  <si>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</si>
  <si>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</si>
  <si>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</si>
  <si>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</si>
  <si>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</si>
  <si>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</si>
  <si>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</si>
  <si>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</si>
  <si>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</si>
  <si>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</si>
  <si>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</si>
  <si>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</si>
  <si>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</si>
  <si>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</si>
  <si>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</si>
  <si>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</si>
  <si>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</si>
  <si>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</si>
  <si>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</si>
  <si>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</si>
  <si>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</si>
  <si>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</si>
  <si>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</si>
  <si>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</si>
  <si>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</si>
  <si>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</si>
  <si>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</si>
  <si>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</si>
  <si>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</si>
  <si>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</si>
  <si>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</si>
  <si>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</si>
  <si>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</si>
  <si>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</si>
  <si>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</si>
  <si>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</si>
  <si>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</si>
  <si>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</si>
  <si>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</si>
  <si>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</si>
  <si>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</si>
  <si>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</si>
  <si>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</si>
  <si>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</si>
  <si>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</si>
  <si>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</si>
  <si>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</si>
  <si>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</si>
  <si>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</si>
  <si>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</si>
  <si>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</si>
  <si>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</si>
  <si>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</si>
  <si>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</si>
  <si>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</si>
  <si>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</si>
  <si>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</si>
  <si>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</si>
  <si>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</si>
  <si>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</si>
  <si>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</si>
  <si>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</si>
  <si>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</si>
  <si>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</si>
  <si>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</si>
  <si>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</si>
  <si>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</si>
  <si>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</si>
  <si>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</si>
  <si>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</si>
  <si>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</si>
  <si>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</si>
  <si>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</si>
  <si>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</si>
  <si>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</si>
  <si>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</si>
  <si>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</si>
  <si>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</si>
  <si>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</si>
  <si>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</si>
  <si>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</si>
  <si>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</si>
  <si>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</si>
  <si>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</si>
  <si>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</si>
  <si>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</si>
  <si>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</si>
  <si>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</si>
  <si>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</si>
  <si>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</si>
  <si>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</si>
  <si>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</si>
  <si>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</si>
  <si>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</si>
  <si>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</si>
  <si>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</si>
  <si>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</si>
  <si>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</si>
  <si>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</si>
  <si>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</si>
  <si>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</si>
  <si>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</si>
  <si>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</si>
  <si>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</si>
  <si>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</si>
  <si>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</si>
  <si>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</si>
  <si>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</si>
  <si>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</si>
  <si>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</si>
  <si>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</si>
  <si>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</si>
  <si>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</si>
  <si>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</si>
  <si>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</si>
  <si>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</si>
  <si>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</si>
  <si>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</si>
  <si>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</si>
  <si>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</si>
  <si>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</si>
  <si>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</si>
  <si>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</si>
  <si>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</si>
  <si>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</si>
  <si>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</si>
  <si>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</si>
  <si>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</si>
  <si>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</si>
  <si>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</si>
  <si>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</si>
  <si>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</si>
  <si>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</si>
  <si>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</si>
  <si>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</si>
  <si>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</si>
  <si>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</si>
  <si>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</si>
  <si>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</si>
  <si>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</si>
  <si>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</si>
  <si>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</si>
  <si>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</si>
  <si>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</si>
  <si>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</si>
  <si>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</si>
  <si>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</si>
  <si>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</si>
  <si>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</si>
  <si>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</si>
  <si>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</si>
  <si>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</si>
  <si>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</si>
  <si>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</si>
  <si>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</si>
  <si>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</si>
  <si>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</si>
  <si>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</si>
  <si>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</si>
  <si>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</si>
  <si>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</si>
  <si>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</si>
  <si>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</si>
  <si>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</si>
  <si>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</si>
  <si>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</si>
  <si>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</si>
  <si>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</si>
  <si>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</si>
  <si>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</si>
  <si>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</si>
  <si>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</si>
  <si>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</si>
  <si>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</si>
  <si>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</si>
  <si>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</si>
  <si>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</si>
  <si>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</si>
  <si>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</si>
  <si>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</si>
  <si>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</si>
  <si>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</si>
  <si>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</si>
  <si>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</si>
  <si>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</si>
  <si>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</si>
  <si>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</si>
  <si>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</si>
  <si>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</si>
  <si>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</si>
  <si>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</si>
  <si>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</si>
  <si>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</si>
  <si>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</si>
  <si>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</si>
  <si>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</si>
  <si>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</si>
  <si>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</si>
  <si>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</si>
  <si>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</si>
  <si>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</si>
  <si>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</si>
  <si>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</si>
  <si>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</si>
  <si>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</si>
  <si>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</si>
  <si>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</si>
  <si>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</si>
  <si>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</si>
  <si>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</si>
  <si>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</si>
  <si>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</si>
  <si>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</si>
  <si>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</si>
  <si>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</si>
  <si>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</si>
  <si>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</si>
  <si>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</si>
  <si>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</si>
  <si>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</si>
  <si>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</si>
  <si>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</si>
  <si>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</si>
  <si>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</si>
  <si>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</si>
  <si>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</si>
  <si>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</si>
  <si>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</si>
  <si>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</si>
  <si>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</si>
  <si>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</si>
  <si>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</si>
  <si>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</si>
  <si>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</si>
  <si>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</si>
  <si>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</si>
  <si>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</si>
  <si>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</si>
  <si>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</si>
  <si>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</si>
  <si>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</si>
  <si>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</si>
  <si>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</si>
  <si>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</si>
  <si>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</si>
  <si>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</si>
  <si>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</si>
  <si>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</si>
  <si>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</si>
  <si>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</si>
  <si>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</si>
  <si>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</si>
  <si>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</si>
  <si>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</si>
  <si>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</si>
  <si>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</si>
  <si>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</si>
  <si>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</si>
  <si>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</si>
  <si>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</si>
  <si>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</si>
  <si>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</si>
  <si>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</si>
  <si>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</si>
  <si>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</si>
  <si>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</si>
  <si>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</si>
  <si>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</si>
  <si>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</si>
  <si>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</si>
  <si>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</si>
  <si>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</si>
  <si>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</si>
  <si>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</si>
  <si>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</si>
  <si>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</si>
  <si>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</si>
  <si>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</si>
  <si>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</si>
  <si>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</si>
  <si>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</si>
  <si>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</si>
  <si>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</si>
  <si>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</si>
  <si>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</si>
  <si>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</si>
  <si>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</si>
  <si>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</si>
  <si>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</si>
  <si>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</si>
  <si>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</si>
  <si>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</si>
  <si>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</si>
  <si>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</si>
  <si>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</si>
  <si>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</si>
  <si>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</si>
  <si>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</si>
  <si>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</si>
  <si>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</si>
  <si>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</si>
  <si>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</si>
  <si>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</si>
  <si>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</si>
  <si>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</si>
  <si>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</si>
  <si>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</si>
  <si>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</si>
  <si>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</si>
  <si>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</si>
  <si>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</si>
  <si>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</si>
  <si>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</si>
  <si>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</si>
  <si>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</si>
  <si>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</si>
  <si>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</si>
  <si>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</si>
  <si>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</si>
  <si>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</si>
  <si>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</si>
  <si>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</si>
  <si>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</si>
  <si>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</si>
  <si>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</si>
  <si>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</si>
  <si>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</si>
  <si>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</si>
  <si>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</si>
  <si>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</si>
  <si>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</si>
  <si>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</si>
  <si>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</si>
  <si>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</si>
  <si>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</si>
  <si>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</si>
  <si>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</si>
  <si>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</si>
  <si>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</si>
  <si>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</si>
  <si>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</si>
  <si>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</si>
  <si>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</si>
  <si>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</si>
  <si>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</si>
  <si>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</si>
  <si>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</si>
  <si>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</si>
  <si>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</si>
  <si>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</si>
  <si>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</si>
  <si>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</si>
  <si>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</si>
  <si>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</si>
  <si>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</si>
  <si>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</si>
  <si>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</si>
  <si>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</si>
  <si>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</si>
  <si>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</si>
  <si>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</si>
  <si>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</si>
  <si>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</si>
  <si>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</si>
  <si>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</si>
  <si>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</si>
  <si>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</si>
  <si>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</si>
  <si>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</si>
  <si>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</si>
  <si>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</si>
  <si>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</si>
  <si>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</si>
  <si>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</si>
  <si>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</si>
  <si>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</si>
  <si>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</si>
  <si>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</si>
  <si>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</si>
  <si>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</si>
  <si>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</si>
  <si>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</si>
  <si>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</si>
  <si>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</si>
  <si>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</si>
  <si>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</si>
  <si>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</si>
  <si>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</si>
  <si>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</si>
  <si>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</si>
  <si>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</si>
  <si>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</si>
  <si>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</si>
  <si>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</si>
  <si>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</si>
  <si>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</si>
  <si>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</si>
  <si>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</si>
  <si>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</si>
  <si>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</si>
  <si>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</si>
  <si>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</si>
  <si>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</si>
  <si>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</si>
  <si>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</si>
  <si>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</si>
  <si>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</si>
  <si>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</si>
  <si>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</si>
  <si>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</si>
  <si>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</si>
  <si>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</si>
  <si>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</si>
  <si>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</si>
  <si>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</si>
  <si>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</si>
  <si>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</si>
  <si>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</si>
  <si>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</si>
  <si>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</si>
  <si>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</si>
  <si>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</si>
  <si>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</si>
  <si>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</si>
  <si>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</si>
  <si>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</si>
  <si>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</si>
  <si>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</si>
  <si>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</si>
  <si>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</si>
  <si>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</si>
  <si>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</si>
  <si>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</si>
  <si>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</si>
  <si>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</si>
  <si>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</si>
  <si>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</si>
  <si>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</si>
  <si>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</si>
  <si>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</si>
  <si>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</si>
  <si>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</si>
  <si>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</si>
  <si>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</si>
  <si>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</si>
  <si>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</si>
  <si>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</si>
  <si>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</si>
  <si>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</si>
  <si>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</si>
  <si>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</si>
  <si>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</si>
  <si>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</si>
  <si>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</si>
  <si>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</si>
  <si>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</si>
  <si>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</si>
  <si>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</si>
  <si>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</si>
  <si>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</si>
  <si>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</si>
  <si>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</si>
  <si>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</si>
  <si>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</si>
  <si>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</si>
  <si>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</si>
  <si>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</si>
  <si>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</si>
  <si>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</si>
  <si>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</si>
  <si>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</si>
  <si>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</si>
  <si>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</si>
  <si>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</si>
  <si>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</si>
  <si>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</si>
  <si>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</si>
  <si>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</si>
  <si>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</si>
  <si>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</si>
  <si>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</si>
  <si>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</si>
  <si>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</si>
  <si>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</si>
  <si>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</si>
  <si>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</si>
  <si>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</si>
  <si>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</si>
  <si>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</si>
  <si>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</si>
  <si>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</si>
  <si>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</si>
  <si>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</si>
  <si>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</si>
  <si>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</si>
  <si>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</si>
  <si>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</si>
  <si>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</si>
  <si>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</si>
  <si>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</si>
  <si>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</si>
  <si>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</si>
  <si>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</si>
  <si>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</si>
  <si>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</si>
  <si>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</si>
  <si>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</si>
  <si>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</si>
  <si>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</si>
  <si>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</si>
  <si>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</si>
  <si>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</si>
  <si>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</si>
  <si>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</si>
  <si>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</si>
  <si>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</si>
  <si>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</si>
  <si>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</si>
  <si>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</si>
  <si>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</si>
  <si>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</si>
  <si>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</si>
  <si>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</si>
  <si>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</si>
  <si>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</si>
  <si>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</si>
  <si>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</si>
  <si>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</si>
  <si>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</si>
  <si>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</si>
  <si>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</si>
  <si>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</si>
  <si>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</si>
  <si>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</si>
  <si>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</si>
  <si>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</si>
  <si>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</si>
  <si>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</si>
  <si>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</si>
  <si>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</si>
  <si>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</si>
  <si>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</si>
  <si>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</si>
  <si>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</si>
  <si>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</si>
  <si>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</si>
  <si>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</si>
  <si>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</si>
  <si>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</si>
  <si>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</si>
  <si>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</si>
  <si>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</si>
  <si>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</si>
  <si>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</si>
  <si>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</si>
  <si>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</si>
  <si>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</si>
  <si>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</si>
  <si>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</si>
  <si>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</si>
  <si>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</si>
  <si>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</si>
  <si>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</si>
  <si>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</si>
  <si>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</si>
  <si>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</si>
  <si>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</si>
  <si>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</si>
  <si>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</si>
  <si>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</si>
  <si>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</si>
  <si>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</si>
  <si>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</si>
  <si>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</si>
  <si>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</si>
  <si>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</si>
  <si>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</si>
  <si>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</si>
  <si>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</si>
  <si>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</si>
  <si>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</si>
  <si>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</si>
  <si>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</si>
  <si>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</si>
  <si>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</si>
  <si>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</si>
  <si>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</si>
  <si>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</si>
  <si>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</si>
  <si>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</si>
  <si>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</si>
  <si>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</si>
  <si>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</si>
  <si>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</si>
  <si>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</si>
  <si>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</si>
  <si>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</si>
  <si>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</si>
  <si>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</si>
  <si>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</si>
  <si>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</si>
  <si>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</si>
  <si>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</si>
  <si>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</si>
  <si>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</si>
  <si>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</si>
  <si>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</si>
  <si>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</si>
  <si>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</si>
  <si>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</si>
  <si>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</si>
  <si>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</si>
  <si>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</si>
  <si>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</si>
  <si>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</si>
  <si>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</si>
  <si>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</si>
  <si>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</si>
  <si>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</si>
  <si>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</si>
  <si>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</si>
  <si>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</si>
  <si>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</si>
  <si>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</si>
  <si>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</si>
  <si>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</si>
  <si>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</si>
  <si>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</si>
  <si>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</si>
  <si>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</si>
  <si>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</si>
  <si>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</si>
  <si>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</si>
  <si>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</si>
  <si>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</si>
  <si>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</si>
  <si>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</si>
  <si>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</si>
  <si>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</si>
  <si>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</si>
  <si>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</si>
  <si>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</si>
  <si>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</si>
  <si>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</si>
  <si>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</si>
  <si>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</si>
  <si>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</si>
  <si>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</si>
  <si>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</si>
  <si>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</si>
  <si>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</si>
  <si>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</si>
  <si>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</si>
  <si>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</si>
  <si>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</si>
  <si>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</si>
  <si>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</si>
  <si>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</si>
  <si>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</si>
  <si>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</si>
  <si>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</si>
  <si>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</si>
  <si>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</si>
  <si>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</si>
  <si>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</si>
  <si>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</si>
  <si>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</si>
  <si>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</si>
  <si>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</si>
  <si>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</si>
  <si>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</si>
  <si>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</si>
  <si>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</si>
  <si>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</si>
  <si>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</si>
  <si>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</si>
  <si>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</si>
  <si>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</si>
  <si>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</si>
  <si>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</si>
  <si>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</si>
  <si>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</si>
  <si>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</si>
  <si>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</si>
  <si>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</si>
  <si>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</si>
  <si>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</si>
  <si>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</si>
  <si>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</si>
  <si>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</si>
  <si>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</si>
  <si>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</si>
  <si>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</si>
  <si>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</si>
  <si>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</si>
  <si>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</si>
  <si>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</si>
  <si>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</si>
  <si>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</si>
  <si>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</si>
  <si>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</si>
  <si>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</si>
  <si>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</si>
  <si>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</si>
  <si>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</si>
  <si>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</si>
  <si>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</si>
  <si>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</si>
  <si>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</si>
  <si>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</si>
  <si>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</si>
  <si>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</si>
  <si>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</si>
  <si>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</si>
  <si>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</si>
  <si>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</si>
  <si>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</si>
  <si>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</si>
  <si>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</si>
  <si>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</si>
  <si>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</si>
  <si>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</si>
  <si>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</si>
  <si>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</si>
  <si>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</si>
  <si>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</si>
  <si>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</si>
  <si>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</si>
  <si>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</si>
  <si>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</si>
  <si>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</si>
  <si>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</si>
  <si>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</si>
  <si>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</si>
  <si>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</si>
  <si>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</si>
  <si>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</si>
  <si>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</si>
  <si>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</si>
  <si>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</si>
  <si>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</si>
  <si>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</si>
  <si>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</si>
  <si>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</si>
  <si>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</si>
  <si>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</si>
  <si>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</si>
  <si>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</si>
  <si>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</si>
  <si>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</si>
  <si>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</si>
  <si>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</si>
  <si>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</si>
  <si>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</si>
  <si>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</si>
  <si>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</si>
  <si>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</si>
  <si>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</si>
  <si>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</si>
  <si>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</si>
  <si>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</si>
  <si>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</si>
  <si>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</si>
  <si>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</si>
  <si>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</si>
  <si>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</si>
  <si>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</si>
  <si>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</si>
  <si>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</si>
  <si>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</si>
  <si>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</si>
  <si>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</si>
  <si>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</si>
  <si>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</si>
  <si>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</si>
  <si>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</si>
  <si>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</si>
  <si>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</si>
  <si>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</si>
  <si>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</si>
  <si>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</si>
  <si>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</si>
  <si>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</si>
  <si>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</si>
  <si>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</si>
  <si>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</si>
  <si>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</si>
  <si>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</si>
  <si>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</si>
  <si>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</si>
  <si>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</si>
  <si>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</si>
  <si>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</si>
  <si>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</si>
  <si>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</si>
  <si>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</si>
  <si>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</si>
  <si>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</si>
  <si>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</si>
  <si>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</si>
  <si>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</si>
  <si>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</si>
  <si>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</si>
  <si>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</si>
  <si>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</si>
  <si>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</si>
  <si>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</si>
  <si>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</si>
  <si>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</si>
  <si>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</si>
  <si>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</si>
  <si>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</si>
  <si>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</si>
  <si>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</si>
  <si>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</si>
  <si>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</si>
  <si>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</si>
  <si>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</si>
  <si>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</si>
  <si>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</si>
  <si>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</si>
  <si>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</si>
  <si>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</si>
  <si>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</si>
  <si>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</si>
  <si>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</si>
  <si>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</si>
  <si>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</si>
  <si>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</si>
  <si>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</si>
  <si>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</si>
  <si>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</si>
  <si>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</si>
  <si>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</si>
  <si>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</si>
  <si>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</si>
  <si>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</si>
  <si>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</si>
  <si>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</si>
  <si>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</si>
  <si>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</si>
  <si>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</si>
  <si>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</si>
  <si>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</si>
  <si>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</si>
  <si>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</si>
  <si>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</si>
  <si>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</si>
  <si>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</si>
  <si>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</si>
  <si>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</si>
  <si>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</si>
  <si>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</si>
  <si>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</si>
  <si>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</si>
  <si>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</si>
  <si>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</si>
  <si>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</si>
  <si>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</si>
  <si>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</si>
  <si>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</si>
  <si>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</si>
  <si>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</si>
  <si>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</si>
  <si>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</si>
  <si>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</si>
  <si>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</si>
  <si>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</si>
  <si>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</si>
  <si>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</si>
  <si>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</si>
  <si>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</si>
  <si>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</si>
  <si>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</si>
  <si>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</si>
  <si>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</si>
  <si>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</si>
  <si>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</si>
  <si>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</si>
  <si>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</si>
  <si>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</si>
  <si>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</si>
  <si>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</si>
  <si>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</si>
  <si>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</si>
  <si>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</si>
  <si>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</si>
  <si>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</si>
  <si>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</si>
  <si>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</si>
  <si>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</si>
  <si>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</si>
  <si>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</si>
  <si>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</si>
  <si>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</si>
  <si>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</si>
  <si>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</si>
  <si>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</si>
  <si>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</si>
  <si>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</si>
  <si>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</si>
  <si>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</si>
  <si>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</si>
  <si>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</si>
  <si>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</si>
  <si>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</si>
  <si>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</si>
  <si>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</si>
  <si>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</si>
  <si>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</si>
  <si>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</si>
  <si>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</si>
  <si>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</si>
  <si>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</si>
  <si>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</si>
  <si>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</si>
  <si>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</si>
  <si>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</si>
  <si>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</si>
  <si>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</si>
  <si>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</si>
  <si>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</si>
  <si>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</si>
  <si>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</si>
  <si>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</si>
  <si>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</si>
  <si>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</si>
  <si>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</si>
  <si>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</si>
  <si>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</si>
  <si>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</si>
  <si>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</si>
  <si>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</si>
  <si>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</si>
  <si>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</si>
  <si>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</si>
  <si>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</si>
  <si>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</si>
  <si>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</si>
  <si>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</si>
  <si>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</si>
  <si>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</si>
  <si>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</si>
  <si>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</si>
  <si>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</si>
  <si>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</si>
  <si>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</si>
  <si>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</si>
  <si>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</si>
  <si>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</si>
  <si>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</si>
  <si>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</si>
  <si>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</si>
  <si>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</si>
  <si>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</si>
  <si>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</si>
  <si>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</si>
  <si>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</si>
  <si>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</si>
  <si>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</si>
  <si>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</si>
  <si>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</si>
  <si>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</si>
  <si>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</si>
  <si>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</si>
  <si>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</si>
  <si>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</si>
  <si>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</si>
  <si>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</si>
  <si>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</si>
  <si>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</si>
  <si>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</si>
  <si>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</si>
  <si>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</si>
  <si>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</si>
  <si>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</si>
  <si>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</si>
  <si>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</si>
  <si>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</si>
  <si>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</si>
  <si>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</si>
  <si>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</si>
  <si>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</si>
  <si>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</si>
  <si>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</si>
  <si>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</si>
  <si>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</si>
  <si>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</si>
  <si>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</si>
  <si>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</si>
  <si>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</si>
  <si>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</si>
  <si>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</si>
  <si>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</si>
  <si>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</si>
  <si>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</si>
  <si>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</si>
  <si>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</si>
  <si>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</si>
  <si>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</si>
  <si>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</si>
  <si>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</si>
  <si>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</si>
  <si>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</si>
  <si>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</si>
  <si>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</si>
  <si>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</si>
  <si>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</si>
  <si>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</si>
  <si>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</si>
  <si>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</si>
  <si>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</si>
  <si>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</si>
  <si>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</si>
  <si>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</si>
  <si>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</si>
  <si>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</si>
  <si>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</si>
  <si>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</si>
  <si>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</si>
  <si>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</si>
  <si>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</si>
  <si>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</si>
  <si>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</si>
  <si>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</si>
  <si>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</si>
  <si>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</si>
  <si>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</si>
  <si>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</si>
  <si>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</si>
  <si>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</si>
  <si>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</si>
  <si>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</si>
  <si>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</si>
  <si>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</si>
  <si>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</si>
  <si>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</si>
  <si>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</si>
  <si>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</si>
  <si>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</si>
  <si>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</si>
  <si>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</si>
  <si>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</si>
  <si>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</si>
  <si>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</si>
  <si>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</si>
  <si>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</si>
  <si>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</si>
  <si>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</si>
  <si>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</si>
  <si>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</si>
  <si>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</si>
  <si>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</si>
  <si>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</si>
  <si>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</si>
  <si>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</si>
  <si>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</si>
  <si>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</si>
  <si>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</si>
  <si>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</si>
  <si>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</si>
  <si>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</si>
  <si>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</si>
  <si>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</si>
  <si>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</si>
  <si>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</si>
  <si>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</si>
  <si>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</si>
  <si>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</si>
  <si>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</si>
  <si>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</si>
  <si>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</si>
  <si>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</si>
  <si>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</si>
  <si>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</si>
  <si>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</si>
  <si>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</si>
  <si>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</si>
  <si>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</si>
  <si>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</si>
  <si>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</si>
  <si>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</si>
  <si>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</si>
  <si>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</si>
  <si>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</si>
  <si>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</si>
  <si>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</si>
  <si>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</si>
  <si>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</si>
  <si>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</si>
  <si>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</si>
  <si>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</si>
  <si>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</si>
  <si>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</si>
  <si>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</si>
  <si>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</si>
  <si>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</si>
  <si>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</si>
  <si>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</si>
  <si>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</si>
  <si>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</si>
  <si>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</si>
  <si>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</si>
  <si>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</si>
  <si>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</si>
  <si>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</si>
  <si>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</si>
  <si>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</si>
  <si>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</si>
  <si>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</si>
  <si>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</si>
  <si>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</si>
  <si>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</si>
  <si>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</si>
  <si>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</si>
  <si>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</si>
  <si>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</si>
  <si>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</si>
  <si>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</si>
  <si>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</si>
  <si>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</si>
  <si>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</si>
  <si>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</si>
  <si>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</si>
  <si>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</si>
  <si>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</si>
  <si>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</si>
  <si>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</si>
  <si>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</si>
  <si>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</si>
  <si>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</si>
  <si>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</si>
  <si>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</si>
  <si>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</si>
  <si>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</si>
  <si>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</si>
  <si>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</si>
  <si>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</si>
  <si>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</si>
  <si>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</si>
  <si>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</si>
  <si>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</si>
  <si>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</si>
  <si>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</si>
  <si>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</si>
  <si>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</si>
  <si>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</si>
  <si>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</si>
  <si>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</si>
  <si>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</si>
  <si>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</si>
  <si>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</si>
  <si>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</si>
  <si>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</si>
  <si>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</si>
  <si>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</si>
  <si>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</si>
  <si>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</si>
  <si>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</si>
  <si>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</si>
  <si>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</si>
  <si>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</si>
  <si>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</si>
  <si>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</si>
  <si>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</si>
  <si>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</si>
  <si>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</si>
  <si>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</si>
  <si>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</si>
  <si>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</si>
  <si>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</si>
  <si>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</si>
  <si>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</si>
  <si>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</si>
  <si>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</si>
  <si>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</si>
  <si>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</si>
  <si>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</si>
  <si>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</si>
  <si>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</si>
  <si>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</si>
  <si>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</si>
  <si>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</si>
  <si>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</si>
  <si>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</si>
  <si>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</si>
  <si>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</si>
  <si>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</si>
  <si>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</si>
  <si>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</si>
  <si>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</si>
  <si>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</si>
  <si>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</si>
  <si>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</si>
  <si>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</si>
  <si>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</si>
  <si>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</si>
  <si>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</si>
  <si>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</si>
  <si>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</si>
  <si>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</si>
  <si>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</si>
  <si>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</si>
  <si>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</si>
  <si>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</si>
  <si>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</si>
  <si>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</si>
  <si>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</si>
  <si>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</si>
  <si>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</si>
  <si>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</si>
  <si>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</si>
  <si>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</si>
  <si>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</si>
  <si>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</si>
  <si>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</si>
  <si>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</si>
  <si>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</si>
  <si>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</si>
  <si>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</si>
  <si>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</si>
  <si>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</si>
  <si>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</si>
  <si>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</si>
  <si>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</si>
  <si>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</si>
  <si>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</si>
  <si>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</si>
  <si>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</si>
  <si>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</si>
  <si>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</si>
  <si>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</si>
  <si>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</si>
  <si>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</si>
  <si>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</si>
  <si>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</si>
  <si>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</si>
  <si>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</si>
  <si>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</si>
  <si>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</si>
  <si>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</si>
  <si>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</si>
  <si>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</si>
  <si>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</si>
  <si>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</si>
  <si>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</si>
  <si>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</si>
  <si>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</si>
  <si>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</si>
  <si>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</si>
  <si>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</si>
  <si>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</si>
  <si>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</si>
  <si>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</si>
  <si>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</si>
  <si>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</si>
  <si>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</si>
  <si>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</si>
  <si>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</si>
  <si>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</si>
  <si>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</si>
  <si>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</si>
  <si>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</si>
  <si>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</si>
  <si>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</si>
  <si>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</si>
  <si>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</si>
  <si>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</si>
  <si>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</si>
  <si>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</si>
  <si>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</si>
  <si>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</si>
  <si>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</si>
  <si>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</si>
  <si>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</si>
  <si>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</si>
  <si>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</si>
  <si>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</si>
  <si>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</si>
  <si>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</si>
  <si>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</si>
  <si>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</si>
  <si>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</si>
  <si>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</si>
  <si>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</si>
  <si>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</si>
  <si>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</si>
  <si>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</si>
  <si>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</si>
  <si>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</si>
  <si>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</si>
  <si>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</si>
  <si>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</si>
  <si>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</si>
  <si>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</si>
  <si>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</si>
  <si>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</si>
  <si>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</si>
  <si>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</si>
  <si>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</si>
  <si>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</si>
  <si>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</si>
  <si>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</si>
  <si>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</si>
  <si>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</si>
  <si>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</si>
  <si>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</si>
  <si>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</si>
  <si>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</si>
  <si>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</si>
  <si>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</si>
  <si>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</si>
  <si>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</si>
  <si>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</si>
  <si>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</si>
  <si>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</si>
  <si>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</si>
  <si>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</si>
  <si>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</si>
  <si>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</si>
  <si>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</si>
  <si>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</si>
  <si>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</si>
  <si>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</si>
  <si>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</si>
  <si>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</si>
  <si>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</si>
  <si>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</si>
  <si>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</si>
  <si>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</si>
  <si>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</si>
  <si>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</si>
  <si>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</si>
  <si>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</si>
  <si>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</si>
  <si>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</si>
  <si>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</si>
  <si>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</si>
  <si>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</si>
  <si>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</si>
  <si>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</si>
  <si>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</si>
  <si>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</si>
  <si>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</si>
  <si>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</si>
  <si>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</si>
  <si>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</si>
  <si>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</si>
  <si>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</si>
  <si>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</si>
  <si>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</si>
  <si>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</si>
  <si>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</si>
  <si>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</si>
  <si>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</si>
  <si>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</si>
  <si>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</si>
  <si>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</si>
  <si>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</si>
  <si>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</si>
  <si>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</si>
  <si>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</si>
  <si>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</si>
  <si>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</si>
  <si>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</si>
  <si>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</si>
  <si>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</si>
  <si>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</si>
  <si>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</si>
  <si>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</si>
  <si>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</si>
  <si>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</si>
  <si>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</si>
  <si>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</si>
  <si>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</si>
  <si>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</si>
  <si>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</si>
  <si>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</si>
  <si>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</si>
  <si>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</si>
  <si>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</si>
  <si>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</si>
  <si>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</si>
  <si>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</si>
  <si>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</si>
  <si>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</si>
  <si>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</si>
  <si>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</si>
  <si>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</si>
  <si>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</si>
  <si>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</si>
  <si>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</si>
  <si>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</si>
  <si>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</si>
  <si>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</si>
  <si>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</si>
  <si>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</si>
  <si>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</si>
  <si>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</si>
  <si>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</si>
  <si>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</si>
  <si>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</si>
  <si>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</si>
  <si>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</si>
  <si>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</si>
  <si>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</si>
  <si>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</si>
  <si>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</si>
  <si>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</si>
  <si>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</si>
  <si>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</si>
  <si>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</si>
  <si>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</si>
  <si>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</si>
  <si>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</si>
  <si>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</si>
  <si>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</si>
  <si>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</si>
  <si>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</si>
  <si>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</si>
  <si>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</si>
  <si>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</si>
  <si>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</si>
  <si>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</si>
  <si>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</si>
  <si>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</si>
  <si>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</si>
  <si>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</si>
  <si>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</si>
  <si>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</si>
  <si>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</si>
  <si>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</si>
  <si>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</si>
  <si>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</si>
  <si>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</si>
  <si>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</si>
  <si>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</si>
  <si>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</si>
  <si>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</si>
  <si>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</si>
  <si>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</si>
  <si>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</si>
  <si>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</si>
  <si>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</si>
  <si>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</si>
  <si>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</si>
  <si>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</si>
  <si>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</si>
  <si>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</si>
  <si>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</si>
  <si>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</si>
  <si>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</si>
  <si>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</si>
  <si>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</si>
  <si>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</si>
  <si>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</si>
  <si>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</si>
  <si>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</si>
  <si>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</si>
  <si>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</si>
  <si>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</si>
  <si>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</si>
  <si>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</si>
  <si>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</si>
  <si>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</si>
  <si>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</si>
  <si>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</si>
  <si>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</si>
  <si>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</si>
  <si>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</si>
  <si>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</si>
  <si>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</si>
  <si>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</si>
  <si>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</si>
  <si>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</si>
  <si>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</si>
  <si>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</si>
  <si>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</si>
  <si>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</si>
  <si>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</si>
  <si>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</si>
  <si>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</si>
  <si>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</si>
  <si>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</si>
  <si>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</si>
  <si>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</si>
  <si>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</si>
  <si>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</si>
  <si>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</si>
  <si>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</si>
  <si>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</si>
  <si>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</si>
  <si>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</si>
  <si>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</si>
  <si>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</si>
  <si>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</si>
  <si>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</si>
  <si>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</si>
  <si>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</si>
  <si>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</si>
  <si>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</si>
  <si>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</si>
  <si>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</si>
  <si>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</si>
  <si>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</si>
  <si>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</si>
  <si>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</si>
  <si>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</si>
  <si>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</si>
  <si>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</si>
  <si>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</si>
  <si>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</si>
  <si>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</si>
  <si>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</si>
  <si>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</si>
  <si>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</si>
  <si>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</si>
  <si>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</si>
  <si>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</si>
  <si>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</si>
  <si>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</si>
  <si>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</si>
  <si>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</si>
  <si>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</si>
  <si>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</si>
  <si>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</si>
  <si>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</si>
  <si>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</si>
  <si>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</si>
  <si>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</si>
  <si>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</si>
  <si>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</si>
  <si>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</si>
  <si>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</si>
  <si>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</si>
  <si>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</si>
  <si>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</si>
  <si>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</si>
  <si>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</si>
  <si>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</si>
  <si>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</si>
  <si>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</si>
  <si>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</si>
  <si>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</si>
  <si>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</si>
  <si>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</si>
  <si>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</si>
  <si>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</si>
  <si>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</si>
  <si>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</si>
  <si>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</si>
  <si>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</si>
  <si>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</si>
  <si>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</si>
  <si>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</si>
  <si>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</si>
  <si>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</si>
  <si>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</si>
  <si>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</si>
  <si>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</si>
  <si>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</si>
  <si>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</si>
  <si>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</si>
  <si>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</si>
  <si>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</si>
  <si>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</si>
  <si>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</si>
  <si>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</si>
  <si>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</si>
  <si>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</si>
  <si>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</si>
  <si>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</si>
  <si>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</si>
  <si>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</si>
  <si>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</si>
  <si>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</si>
  <si>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</si>
  <si>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</si>
  <si>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</si>
  <si>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</si>
  <si>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</si>
  <si>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</si>
  <si>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</si>
  <si>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</si>
  <si>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</si>
  <si>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</si>
  <si>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</si>
  <si>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</si>
  <si>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</si>
  <si>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</si>
  <si>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</si>
  <si>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</si>
  <si>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</si>
  <si>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</si>
  <si>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</si>
  <si>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</si>
  <si>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</si>
  <si>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</si>
  <si>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</si>
  <si>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</si>
  <si>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</si>
  <si>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</si>
  <si>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</si>
  <si>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</si>
  <si>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</si>
  <si>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</si>
  <si>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</si>
  <si>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</si>
  <si>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</si>
  <si>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</si>
  <si>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</si>
  <si>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</si>
  <si>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</si>
  <si>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</si>
  <si>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</si>
  <si>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</si>
  <si>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</si>
  <si>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</si>
  <si>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</si>
  <si>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</si>
  <si>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</si>
  <si>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</si>
  <si>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</si>
  <si>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</si>
  <si>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</si>
  <si>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</si>
  <si>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</si>
  <si>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</si>
  <si>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</si>
  <si>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</si>
  <si>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</si>
  <si>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</si>
  <si>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</si>
  <si>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</si>
  <si>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</si>
  <si>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</si>
  <si>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</si>
  <si>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</si>
  <si>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</si>
  <si>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</si>
  <si>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</si>
  <si>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</si>
  <si>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</si>
  <si>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</si>
  <si>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</si>
  <si>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</si>
  <si>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</si>
  <si>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</si>
  <si>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</si>
  <si>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</si>
  <si>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</si>
  <si>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</si>
  <si>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</si>
  <si>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</si>
  <si>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</si>
  <si>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</si>
  <si>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</si>
  <si>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</si>
  <si>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</si>
  <si>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</si>
  <si>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</si>
  <si>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</si>
  <si>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</si>
  <si>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</si>
  <si>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</si>
  <si>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</si>
  <si>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</si>
  <si>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</si>
  <si>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</si>
  <si>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</si>
  <si>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</si>
  <si>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</si>
  <si>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</si>
  <si>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</si>
  <si>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</si>
  <si>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</si>
  <si>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</si>
  <si>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</si>
  <si>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</si>
  <si>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</si>
  <si>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</si>
  <si>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</si>
  <si>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</si>
  <si>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</si>
  <si>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</si>
  <si>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</si>
  <si>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</si>
  <si>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</si>
  <si>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</si>
  <si>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</si>
  <si>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</si>
  <si>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</si>
  <si>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</si>
  <si>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</si>
  <si>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</si>
  <si>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</si>
  <si>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</si>
  <si>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</si>
  <si>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</si>
  <si>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</si>
  <si>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</si>
  <si>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</si>
  <si>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</si>
  <si>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</si>
  <si>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</si>
  <si>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</si>
  <si>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</si>
  <si>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</si>
  <si>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</si>
  <si>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</si>
  <si>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</si>
  <si>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</si>
  <si>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</si>
  <si>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</si>
  <si>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</si>
  <si>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</si>
  <si>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</si>
  <si>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</si>
  <si>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</si>
  <si>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</si>
  <si>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</si>
  <si>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</si>
  <si>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</si>
  <si>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</si>
  <si>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</si>
  <si>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</si>
  <si>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</si>
  <si>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</si>
  <si>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</si>
  <si>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</si>
  <si>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</si>
  <si>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</si>
  <si>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</si>
  <si>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</si>
  <si>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</si>
  <si>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</si>
  <si>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</si>
  <si>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</si>
  <si>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</si>
  <si>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</si>
  <si>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</si>
  <si>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</si>
  <si>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</si>
  <si>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</si>
  <si>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</si>
  <si>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</si>
  <si>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</si>
  <si>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</si>
  <si>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</si>
  <si>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</si>
  <si>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</si>
  <si>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</si>
  <si>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</si>
  <si>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</si>
  <si>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</si>
  <si>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</si>
  <si>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</si>
  <si>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</si>
  <si>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</si>
  <si>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</si>
  <si>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</si>
  <si>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</si>
  <si>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</si>
  <si>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</si>
  <si>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</si>
  <si>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</si>
  <si>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</si>
  <si>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</si>
  <si>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</si>
  <si>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</si>
  <si>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</si>
  <si>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</si>
  <si>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</si>
  <si>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</si>
  <si>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</si>
  <si>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</si>
  <si>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</si>
  <si>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</si>
  <si>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</si>
  <si>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</si>
  <si>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</si>
  <si>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</si>
  <si>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</si>
  <si>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</si>
  <si>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</si>
  <si>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</si>
  <si>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</si>
  <si>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</si>
  <si>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</si>
  <si>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</si>
  <si>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</si>
  <si>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</si>
  <si>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</si>
  <si>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</si>
  <si>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</si>
  <si>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</si>
  <si>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</si>
  <si>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</si>
  <si>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</si>
  <si>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</si>
  <si>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</si>
  <si>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</si>
  <si>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</si>
  <si>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</si>
  <si>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</si>
  <si>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</si>
  <si>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</si>
  <si>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</si>
  <si>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</si>
  <si>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</si>
  <si>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</si>
  <si>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</si>
  <si>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</si>
  <si>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</si>
  <si>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</si>
  <si>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</si>
  <si>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</si>
  <si>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</si>
  <si>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</si>
  <si>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</si>
  <si>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</si>
  <si>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</si>
  <si>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</si>
  <si>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</si>
  <si>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</si>
  <si>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</si>
  <si>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</si>
  <si>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</si>
  <si>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</si>
  <si>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</si>
  <si>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</si>
  <si>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</si>
  <si>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</si>
  <si>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</si>
  <si>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</si>
  <si>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</si>
  <si>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</si>
  <si>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</si>
  <si>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</si>
  <si>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</si>
  <si>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</si>
  <si>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</si>
  <si>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</si>
  <si>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</si>
  <si>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</si>
  <si>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</si>
  <si>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</si>
  <si>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</si>
  <si>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</si>
  <si>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</si>
  <si>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</si>
  <si>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</si>
  <si>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</si>
  <si>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</si>
  <si>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</si>
  <si>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</si>
  <si>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</si>
  <si>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</si>
  <si>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</si>
  <si>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</si>
  <si>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</si>
  <si>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</si>
  <si>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</si>
  <si>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</si>
  <si>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</si>
  <si>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</si>
  <si>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</si>
  <si>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</si>
  <si>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</si>
  <si>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</si>
  <si>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</si>
  <si>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</si>
  <si>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</si>
  <si>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</si>
  <si>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</si>
  <si>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</si>
  <si>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</si>
  <si>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</si>
  <si>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</si>
  <si>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</si>
  <si>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</si>
  <si>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</si>
  <si>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</si>
  <si>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</si>
  <si>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</si>
  <si>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</si>
  <si>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</si>
  <si>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</si>
  <si>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</si>
  <si>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</si>
  <si>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</si>
  <si>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</si>
  <si>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</si>
  <si>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</si>
  <si>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</si>
  <si>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</si>
  <si>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</si>
  <si>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</si>
  <si>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</si>
  <si>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</si>
  <si>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</si>
  <si>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</si>
  <si>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</si>
  <si>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</si>
  <si>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</si>
  <si>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</si>
  <si>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</si>
  <si>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</si>
  <si>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</si>
  <si>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</si>
  <si>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</si>
  <si>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</si>
  <si>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</si>
  <si>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</si>
  <si>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</si>
  <si>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</si>
  <si>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</si>
  <si>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</si>
  <si>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</si>
  <si>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</si>
  <si>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</si>
  <si>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</si>
  <si>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</si>
  <si>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</si>
  <si>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</si>
  <si>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</si>
  <si>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</si>
  <si>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</si>
  <si>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</si>
  <si>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</si>
  <si>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</si>
  <si>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</si>
  <si>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</si>
  <si>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</si>
  <si>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</si>
  <si>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</si>
  <si>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</si>
  <si>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</si>
  <si>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</si>
  <si>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</si>
  <si>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</si>
  <si>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</si>
  <si>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</si>
  <si>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</si>
  <si>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</si>
  <si>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</si>
  <si>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</si>
  <si>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</si>
  <si>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</si>
  <si>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</si>
  <si>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</si>
  <si>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</si>
  <si>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</si>
  <si>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</si>
  <si>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</si>
  <si>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</si>
  <si>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</si>
  <si>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</si>
  <si>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</si>
  <si>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</si>
  <si>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</si>
  <si>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</si>
  <si>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</si>
  <si>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</si>
  <si>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</si>
  <si>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</si>
  <si>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</si>
  <si>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</si>
  <si>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</si>
  <si>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</si>
  <si>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</si>
  <si>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</si>
  <si>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</si>
  <si>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</si>
  <si>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</si>
  <si>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</si>
  <si>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</si>
  <si>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</si>
  <si>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</si>
  <si>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</si>
  <si>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</si>
  <si>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</si>
  <si>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</si>
  <si>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</si>
  <si>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</si>
  <si>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</si>
  <si>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</si>
  <si>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</si>
  <si>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</si>
  <si>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</si>
  <si>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</si>
  <si>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</si>
  <si>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</si>
  <si>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</si>
  <si>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</si>
  <si>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</si>
  <si>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</si>
  <si>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</si>
  <si>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</si>
  <si>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</si>
  <si>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</si>
  <si>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</si>
  <si>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</si>
  <si>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</si>
  <si>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</si>
  <si>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</si>
  <si>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</si>
  <si>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</si>
  <si>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</si>
  <si>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</si>
  <si>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</si>
  <si>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</si>
  <si>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</si>
  <si>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</si>
  <si>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</si>
  <si>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</si>
  <si>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</si>
  <si>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</si>
  <si>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</si>
  <si>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</si>
  <si>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</si>
  <si>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</si>
  <si>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</si>
  <si>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</si>
  <si>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</si>
  <si>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</si>
  <si>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</si>
  <si>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</si>
  <si>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</si>
  <si>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</si>
  <si>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</si>
  <si>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</si>
  <si>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</si>
  <si>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</si>
  <si>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</si>
  <si>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</si>
  <si>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</si>
  <si>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</si>
  <si>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</si>
  <si>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</si>
  <si>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</si>
  <si>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</si>
  <si>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</si>
  <si>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</si>
  <si>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</si>
  <si>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</si>
  <si>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</si>
  <si>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</si>
  <si>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</si>
  <si>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</si>
  <si>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</si>
  <si>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</si>
  <si>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</si>
  <si>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</si>
  <si>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</si>
  <si>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</si>
  <si>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</si>
  <si>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</si>
  <si>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</si>
  <si>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</si>
  <si>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</si>
  <si>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</si>
  <si>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</si>
  <si>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</si>
  <si>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</si>
  <si>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</si>
  <si>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</si>
  <si>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</si>
  <si>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</si>
  <si>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</si>
  <si>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</si>
  <si>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</si>
  <si>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</si>
  <si>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</si>
  <si>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</si>
  <si>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</si>
  <si>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</si>
  <si>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</si>
  <si>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</si>
  <si>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</si>
  <si>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</si>
  <si>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</si>
  <si>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</si>
  <si>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</si>
  <si>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</si>
  <si>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</si>
  <si>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</si>
  <si>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</si>
  <si>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</si>
  <si>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</si>
  <si>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</si>
  <si>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</si>
  <si>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</si>
  <si>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</si>
  <si>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</si>
  <si>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</si>
  <si>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</si>
  <si>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</si>
  <si>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</si>
  <si>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</si>
  <si>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</si>
  <si>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</si>
  <si>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</si>
  <si>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</si>
  <si>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</si>
  <si>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</si>
  <si>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</si>
  <si>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</si>
  <si>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</si>
  <si>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</si>
  <si>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</si>
  <si>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</si>
  <si>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</si>
  <si>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</si>
  <si>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</si>
  <si>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</si>
  <si>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</si>
  <si>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</si>
  <si>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</si>
  <si>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</si>
  <si>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</si>
  <si>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</si>
  <si>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</si>
  <si>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</si>
  <si>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</si>
  <si>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</si>
  <si>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</si>
  <si>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</si>
  <si>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</si>
  <si>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</si>
  <si>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</si>
  <si>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</si>
  <si>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</si>
  <si>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</si>
  <si>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</si>
  <si>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</si>
  <si>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</si>
  <si>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</si>
  <si>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</si>
  <si>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</si>
  <si>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</si>
  <si>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</si>
  <si>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</si>
  <si>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</si>
  <si>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</si>
  <si>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</si>
  <si>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</si>
  <si>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</si>
  <si>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</si>
  <si>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</si>
  <si>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</si>
  <si>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</si>
  <si>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</si>
  <si>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</si>
  <si>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</si>
  <si>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</si>
  <si>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</si>
  <si>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</si>
  <si>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</si>
  <si>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</si>
  <si>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</si>
  <si>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</si>
  <si>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</si>
  <si>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</si>
  <si>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</si>
  <si>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</si>
  <si>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</si>
  <si>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</si>
  <si>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</si>
  <si>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</si>
  <si>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</si>
  <si>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</si>
  <si>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</si>
  <si>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</si>
  <si>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</si>
  <si>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</si>
  <si>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</si>
  <si>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</si>
  <si>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</si>
  <si>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</si>
  <si>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</si>
  <si>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</si>
  <si>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</si>
  <si>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</si>
  <si>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</si>
  <si>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</si>
  <si>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</si>
  <si>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</si>
  <si>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</si>
  <si>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</si>
  <si>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</si>
  <si>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</si>
  <si>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</si>
  <si>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</si>
  <si>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</si>
  <si>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</si>
  <si>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</si>
  <si>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</si>
  <si>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</si>
  <si>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</si>
  <si>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</si>
  <si>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</si>
  <si>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</si>
  <si>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</si>
  <si>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</si>
  <si>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</si>
  <si>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</si>
  <si>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</si>
  <si>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</si>
  <si>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</si>
  <si>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</si>
  <si>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</si>
  <si>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</si>
  <si>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</si>
  <si>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</si>
  <si>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</si>
  <si>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</si>
  <si>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</si>
  <si>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</si>
  <si>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</si>
  <si>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</si>
  <si>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</si>
  <si>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</si>
  <si>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</si>
  <si>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</si>
  <si>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</si>
  <si>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</si>
  <si>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</si>
  <si>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</si>
  <si>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</si>
  <si>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</si>
  <si>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</si>
  <si>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</si>
  <si>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</si>
  <si>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</si>
  <si>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</si>
  <si>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</si>
  <si>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</si>
  <si>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</si>
  <si>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</si>
  <si>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</si>
  <si>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</si>
  <si>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</si>
  <si>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</si>
  <si>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</si>
  <si>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</si>
  <si>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</si>
  <si>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</si>
  <si>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</si>
  <si>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</si>
  <si>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</si>
  <si>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</si>
  <si>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</si>
  <si>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</si>
  <si>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</si>
  <si>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</si>
  <si>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</si>
  <si>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</si>
  <si>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</si>
  <si>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</si>
  <si>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</si>
  <si>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</si>
  <si>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</si>
  <si>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</si>
  <si>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</si>
  <si>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</si>
  <si>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</si>
  <si>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</si>
  <si>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</si>
  <si>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</si>
  <si>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</si>
  <si>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</si>
  <si>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</si>
  <si>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</si>
  <si>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</si>
  <si>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</si>
  <si>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</si>
  <si>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</si>
  <si>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</si>
  <si>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</si>
  <si>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</si>
  <si>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</si>
  <si>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</si>
  <si>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</si>
  <si>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</si>
  <si>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</si>
  <si>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</si>
  <si>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</si>
  <si>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</si>
  <si>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</si>
  <si>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</si>
  <si>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</si>
  <si>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</si>
  <si>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</si>
  <si>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</si>
  <si>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</si>
  <si>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</si>
  <si>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</si>
  <si>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</si>
  <si>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</si>
  <si>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</si>
  <si>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</si>
  <si>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</si>
  <si>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</si>
  <si>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</si>
  <si>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</si>
  <si>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</si>
  <si>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</si>
  <si>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</si>
  <si>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</si>
  <si>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</si>
  <si>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</si>
  <si>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</si>
  <si>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</si>
  <si>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</si>
  <si>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</si>
  <si>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</si>
  <si>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</si>
  <si>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</si>
  <si>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</si>
  <si>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</si>
  <si>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</si>
  <si>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</si>
  <si>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</si>
  <si>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</si>
  <si>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</si>
  <si>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</si>
  <si>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</si>
  <si>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</si>
  <si>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</si>
  <si>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</si>
  <si>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</si>
  <si>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</si>
  <si>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</si>
  <si>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</si>
  <si>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</si>
  <si>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</si>
  <si>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</si>
  <si>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</si>
  <si>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</si>
  <si>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</si>
  <si>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</si>
  <si>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</si>
  <si>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</si>
  <si>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</si>
  <si>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</si>
  <si>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</si>
  <si>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</si>
  <si>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</si>
  <si>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</si>
  <si>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</si>
  <si>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</si>
  <si>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</si>
  <si>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</si>
  <si>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</si>
  <si>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</si>
  <si>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</si>
  <si>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</si>
  <si>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</si>
  <si>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</si>
  <si>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</si>
  <si>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</si>
  <si>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</si>
  <si>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</si>
  <si>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</si>
  <si>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</si>
  <si>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</si>
  <si>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</si>
  <si>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</si>
  <si>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</si>
  <si>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</si>
  <si>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</si>
  <si>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</si>
  <si>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</si>
  <si>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</si>
  <si>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</si>
  <si>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</si>
  <si>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</si>
  <si>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</si>
  <si>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</si>
  <si>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</si>
  <si>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</si>
  <si>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</si>
  <si>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</si>
  <si>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</si>
  <si>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</si>
  <si>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</si>
  <si>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</si>
  <si>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</si>
  <si>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</si>
  <si>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</si>
  <si>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</si>
  <si>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</si>
  <si>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</si>
  <si>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</si>
  <si>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</si>
  <si>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</si>
  <si>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</si>
  <si>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</si>
  <si>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</si>
  <si>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</si>
  <si>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</si>
  <si>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</si>
  <si>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</si>
  <si>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</si>
  <si>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</si>
  <si>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</si>
  <si>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</si>
  <si>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</si>
  <si>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</si>
  <si>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</si>
  <si>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</si>
  <si>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</si>
  <si>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</si>
  <si>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</si>
  <si>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</si>
  <si>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</si>
  <si>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</si>
  <si>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</si>
  <si>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</si>
  <si>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</si>
  <si>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</si>
  <si>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</si>
  <si>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</si>
  <si>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</si>
  <si>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</si>
  <si>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</si>
  <si>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</si>
  <si>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</si>
  <si>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</si>
  <si>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</si>
  <si>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</si>
  <si>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</si>
  <si>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</si>
  <si>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</si>
  <si>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</si>
  <si>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</si>
  <si>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</si>
  <si>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</si>
  <si>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</si>
  <si>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</si>
  <si>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</si>
  <si>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</si>
  <si>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</si>
  <si>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</si>
  <si>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</si>
  <si>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</si>
  <si>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</si>
  <si>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</si>
  <si>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</si>
  <si>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</si>
  <si>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</si>
  <si>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</si>
  <si>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</si>
  <si>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</si>
  <si>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</si>
  <si>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</si>
  <si>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</si>
  <si>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</si>
  <si>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</si>
  <si>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</si>
  <si>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</si>
  <si>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</si>
  <si>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</si>
  <si>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</si>
  <si>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</si>
  <si>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</si>
  <si>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</si>
  <si>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</si>
  <si>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</si>
  <si>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</si>
  <si>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</si>
  <si>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</si>
  <si>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</si>
  <si>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</si>
  <si>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</si>
  <si>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</si>
  <si>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</si>
  <si>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</si>
  <si>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</si>
  <si>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</si>
  <si>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</si>
  <si>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</si>
  <si>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</si>
  <si>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</si>
  <si>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</si>
  <si>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</si>
  <si>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</si>
  <si>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</si>
  <si>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</si>
  <si>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</si>
  <si>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</si>
  <si>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</si>
  <si>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</si>
  <si>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</si>
  <si>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</si>
  <si>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</si>
  <si>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</si>
  <si>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</si>
  <si>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</si>
  <si>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</si>
  <si>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</si>
  <si>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</si>
  <si>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</si>
  <si>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</si>
  <si>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</si>
  <si>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</si>
  <si>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</si>
  <si>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</si>
  <si>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</si>
  <si>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</si>
  <si>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</si>
  <si>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</si>
  <si>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</si>
  <si>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</si>
  <si>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</si>
  <si>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</si>
  <si>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</si>
  <si>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</si>
  <si>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</si>
  <si>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</si>
  <si>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</si>
  <si>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</si>
  <si>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</si>
  <si>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</si>
  <si>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</si>
  <si>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</si>
  <si>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</si>
  <si>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</si>
  <si>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</si>
  <si>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</si>
  <si>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</si>
  <si>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</si>
  <si>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</si>
  <si>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</si>
  <si>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</si>
  <si>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</si>
  <si>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</si>
  <si>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</si>
  <si>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</si>
  <si>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</si>
  <si>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</si>
  <si>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</si>
  <si>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</si>
  <si>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</si>
  <si>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</si>
  <si>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</si>
  <si>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</si>
  <si>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</si>
  <si>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</si>
  <si>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</si>
  <si>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</si>
  <si>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</si>
  <si>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</si>
  <si>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</si>
  <si>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</si>
  <si>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</si>
  <si>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</si>
  <si>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</si>
  <si>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</si>
  <si>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</si>
  <si>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</si>
  <si>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</si>
  <si>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</si>
  <si>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</si>
  <si>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</si>
  <si>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</si>
  <si>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</si>
  <si>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</si>
  <si>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</si>
  <si>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</si>
  <si>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</si>
  <si>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</si>
  <si>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</si>
  <si>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</si>
  <si>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</si>
  <si>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</si>
  <si>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</si>
  <si>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</si>
  <si>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</si>
  <si>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</si>
  <si>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</si>
  <si>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</si>
  <si>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</si>
  <si>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</si>
  <si>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</si>
  <si>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</si>
  <si>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</si>
  <si>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</si>
  <si>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</si>
  <si>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</si>
  <si>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</si>
  <si>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</si>
  <si>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</si>
  <si>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</si>
  <si>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</si>
  <si>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</si>
  <si>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</si>
  <si>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</si>
  <si>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</si>
  <si>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</si>
  <si>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</si>
  <si>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</si>
  <si>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</si>
  <si>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</si>
  <si>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</si>
  <si>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</si>
  <si>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</si>
  <si>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</si>
  <si>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</si>
  <si>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</si>
  <si>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</si>
  <si>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</si>
  <si>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</si>
  <si>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</si>
  <si>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</si>
  <si>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</si>
  <si>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</si>
  <si>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</si>
  <si>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</si>
  <si>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</si>
  <si>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</si>
  <si>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</si>
  <si>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</si>
  <si>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</si>
  <si>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</si>
  <si>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</si>
  <si>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</si>
  <si>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</si>
  <si>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</si>
  <si>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</si>
  <si>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</si>
  <si>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</si>
  <si>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</si>
  <si>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</si>
  <si>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</si>
  <si>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</si>
  <si>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</si>
  <si>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</si>
  <si>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</si>
  <si>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</si>
  <si>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</si>
  <si>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</si>
  <si>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</si>
  <si>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</si>
  <si>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</si>
  <si>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</si>
  <si>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</si>
  <si>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</si>
  <si>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</si>
  <si>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</si>
  <si>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</si>
  <si>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</si>
  <si>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</si>
  <si>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</si>
  <si>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</si>
  <si>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</si>
  <si>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</si>
  <si>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</si>
  <si>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</si>
  <si>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</si>
  <si>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</si>
  <si>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</si>
  <si>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</si>
  <si>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</si>
  <si>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</si>
  <si>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</si>
  <si>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</si>
  <si>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</si>
  <si>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</si>
  <si>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</si>
  <si>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</si>
  <si>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</si>
  <si>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</si>
  <si>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</si>
  <si>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</si>
  <si>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</si>
  <si>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</si>
  <si>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</si>
  <si>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</si>
  <si>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</si>
  <si>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</si>
  <si>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</si>
  <si>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</si>
  <si>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</si>
  <si>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</si>
  <si>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</si>
  <si>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</si>
  <si>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</si>
  <si>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</si>
  <si>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</si>
  <si>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</si>
  <si>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</si>
  <si>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</si>
  <si>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</si>
  <si>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</si>
  <si>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</si>
  <si>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</si>
  <si>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</si>
  <si>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</si>
  <si>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</si>
  <si>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</si>
  <si>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</si>
  <si>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</si>
  <si>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</si>
  <si>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</si>
  <si>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</si>
  <si>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</si>
  <si>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</si>
  <si>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</si>
  <si>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</si>
  <si>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</si>
  <si>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</si>
  <si>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</si>
  <si>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</si>
  <si>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</si>
  <si>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</si>
  <si>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</si>
  <si>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</si>
  <si>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</si>
  <si>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</si>
  <si>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</si>
  <si>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</si>
  <si>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</si>
  <si>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</si>
  <si>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</si>
  <si>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</si>
  <si>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</si>
  <si>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</si>
  <si>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</si>
  <si>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</si>
  <si>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</si>
  <si>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</si>
  <si>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</si>
  <si>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</si>
  <si>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</si>
  <si>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</si>
  <si>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</si>
  <si>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</si>
  <si>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</si>
  <si>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</si>
  <si>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</si>
  <si>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</si>
  <si>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</si>
  <si>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</si>
  <si>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</si>
  <si>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</si>
  <si>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</si>
  <si>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</si>
  <si>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</si>
  <si>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</si>
  <si>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</si>
  <si>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</si>
  <si>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</si>
  <si>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</si>
  <si>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</si>
  <si>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</si>
  <si>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</si>
  <si>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</si>
  <si>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</si>
  <si>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</si>
  <si>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</si>
  <si>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</si>
  <si>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</si>
  <si>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</si>
  <si>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</si>
  <si>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</si>
  <si>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</si>
  <si>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</si>
  <si>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</si>
  <si>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</si>
  <si>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</si>
  <si>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</si>
  <si>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</si>
  <si>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</si>
  <si>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</si>
  <si>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</si>
  <si>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</si>
  <si>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</si>
  <si>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</si>
  <si>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</si>
  <si>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</si>
  <si>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</si>
  <si>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</si>
  <si>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</si>
  <si>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</si>
  <si>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</si>
  <si>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</si>
  <si>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</si>
  <si>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</si>
  <si>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</si>
  <si>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</si>
  <si>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</si>
  <si>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</si>
  <si>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</si>
  <si>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</si>
  <si>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</si>
  <si>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</si>
  <si>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</si>
  <si>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</si>
  <si>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</si>
  <si>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</si>
  <si>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</si>
  <si>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</si>
  <si>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</si>
  <si>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</si>
  <si>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</si>
  <si>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</si>
  <si>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</si>
  <si>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</si>
  <si>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</si>
  <si>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</si>
  <si>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</si>
  <si>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</si>
  <si>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</si>
  <si>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</si>
  <si>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</si>
  <si>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</si>
  <si>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</si>
  <si>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</si>
  <si>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</si>
  <si>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</si>
  <si>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</si>
  <si>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</si>
  <si>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</si>
  <si>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</si>
  <si>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</si>
  <si>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</si>
  <si>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</si>
  <si>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</si>
  <si>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</si>
  <si>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</si>
  <si>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</si>
  <si>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</si>
  <si>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</si>
  <si>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</si>
  <si>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</si>
  <si>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</si>
  <si>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</si>
  <si>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</si>
  <si>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</si>
  <si>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</si>
  <si>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</si>
  <si>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</si>
  <si>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</si>
  <si>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</si>
  <si>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</si>
  <si>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</si>
  <si>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</si>
  <si>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</si>
  <si>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</si>
  <si>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</si>
  <si>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</si>
  <si>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</si>
  <si>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</si>
  <si>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</si>
  <si>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</si>
  <si>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</si>
  <si>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</si>
  <si>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</si>
  <si>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</si>
  <si>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</si>
  <si>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</si>
  <si>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</si>
  <si>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</si>
  <si>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</si>
  <si>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</si>
  <si>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</si>
  <si>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</si>
  <si>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</si>
  <si>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</si>
  <si>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</si>
  <si>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</si>
  <si>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</si>
  <si>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</si>
  <si>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</si>
  <si>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</si>
  <si>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</si>
  <si>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</si>
  <si>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</si>
  <si>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</si>
  <si>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</si>
  <si>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</si>
  <si>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</si>
  <si>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</si>
  <si>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</si>
  <si>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</si>
  <si>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</si>
  <si>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</si>
  <si>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</si>
  <si>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</si>
  <si>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</si>
  <si>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</si>
  <si>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</si>
  <si>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</si>
  <si>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</si>
  <si>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</si>
  <si>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</si>
  <si>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</si>
  <si>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</si>
  <si>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</si>
  <si>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</si>
  <si>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</si>
  <si>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</si>
  <si>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</si>
  <si>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</si>
  <si>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</si>
  <si>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</si>
  <si>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</si>
  <si>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</si>
  <si>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</si>
  <si>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</si>
  <si>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</si>
  <si>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</si>
  <si>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</si>
  <si>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</si>
  <si>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</si>
  <si>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</si>
  <si>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</si>
  <si>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</si>
  <si>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</si>
  <si>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</si>
  <si>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</si>
  <si>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</si>
  <si>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</si>
  <si>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</si>
  <si>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</si>
  <si>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</si>
  <si>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</si>
  <si>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</si>
  <si>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</si>
  <si>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</si>
  <si>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</si>
  <si>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</si>
  <si>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</si>
  <si>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</si>
  <si>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</si>
  <si>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</si>
  <si>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</si>
  <si>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</si>
  <si>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</si>
  <si>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</si>
  <si>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</si>
  <si>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</si>
  <si>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</si>
  <si>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</si>
  <si>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</si>
  <si>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</si>
  <si>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</si>
  <si>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</si>
  <si>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</si>
  <si>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</si>
  <si>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</si>
  <si>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</si>
  <si>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</si>
  <si>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</si>
  <si>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</si>
  <si>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</si>
  <si>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</si>
  <si>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</si>
  <si>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</si>
  <si>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</si>
  <si>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</si>
  <si>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</si>
  <si>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</si>
  <si>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</si>
  <si>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</si>
  <si>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</si>
  <si>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</si>
  <si>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</si>
  <si>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</si>
  <si>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</si>
  <si>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</si>
  <si>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</si>
  <si>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</si>
  <si>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</si>
  <si>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</si>
  <si>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</si>
  <si>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</si>
  <si>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</si>
  <si>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</si>
  <si>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</si>
  <si>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</si>
  <si>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</si>
  <si>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</si>
  <si>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</si>
  <si>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</si>
  <si>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</si>
  <si>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</si>
  <si>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</si>
  <si>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</si>
  <si>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</si>
  <si>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</si>
  <si>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</si>
  <si>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</si>
  <si>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</si>
  <si>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</si>
  <si>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</si>
  <si>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</si>
  <si>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</si>
  <si>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</si>
  <si>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</si>
  <si>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</si>
  <si>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</si>
  <si>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</si>
  <si>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</si>
  <si>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</si>
  <si>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</si>
  <si>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</si>
  <si>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</si>
  <si>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</si>
  <si>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</si>
  <si>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</si>
  <si>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</si>
  <si>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</si>
  <si>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</si>
  <si>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</si>
  <si>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</si>
  <si>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</si>
  <si>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</si>
  <si>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</si>
  <si>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</si>
  <si>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</si>
  <si>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</si>
  <si>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</si>
  <si>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</si>
  <si>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</si>
  <si>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</si>
  <si>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</si>
  <si>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</si>
  <si>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</si>
  <si>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</si>
  <si>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</si>
  <si>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</si>
  <si>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</si>
  <si>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</si>
  <si>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</si>
  <si>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</si>
  <si>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</si>
  <si>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</si>
  <si>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</si>
  <si>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</si>
  <si>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</si>
  <si>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</si>
  <si>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</si>
  <si>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</si>
  <si>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</si>
  <si>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</si>
  <si>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</si>
  <si>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</si>
  <si>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</si>
  <si>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</si>
  <si>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</si>
  <si>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</si>
  <si>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</si>
  <si>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</si>
  <si>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</si>
  <si>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</si>
  <si>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</si>
  <si>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</si>
  <si>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</si>
  <si>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</si>
  <si>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</si>
  <si>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</si>
  <si>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</si>
  <si>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</si>
  <si>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</si>
  <si>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</si>
  <si>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</si>
  <si>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</si>
  <si>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</si>
  <si>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</si>
  <si>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</si>
  <si>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</si>
  <si>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</si>
  <si>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</si>
  <si>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</si>
  <si>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</si>
  <si>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</si>
  <si>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</si>
  <si>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</si>
  <si>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</si>
  <si>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</si>
  <si>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</si>
  <si>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</si>
  <si>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</si>
  <si>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</si>
  <si>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</si>
  <si>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</si>
  <si>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</si>
  <si>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</si>
  <si>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</si>
  <si>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</si>
  <si>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</si>
  <si>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</si>
  <si>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</si>
  <si>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</si>
  <si>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</si>
  <si>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</si>
  <si>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</si>
  <si>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</si>
  <si>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</si>
  <si>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</si>
  <si>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</si>
  <si>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</si>
  <si>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</si>
  <si>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</si>
  <si>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</si>
  <si>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</si>
  <si>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</si>
  <si>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</si>
  <si>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</si>
  <si>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</si>
  <si>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</si>
  <si>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</si>
  <si>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</si>
  <si>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</si>
  <si>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</si>
  <si>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</si>
  <si>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</si>
  <si>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</si>
  <si>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</si>
  <si>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</si>
  <si>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</si>
  <si>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</si>
  <si>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</si>
  <si>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</si>
  <si>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</si>
  <si>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</si>
  <si>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</si>
  <si>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</si>
  <si>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</si>
  <si>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</si>
  <si>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</si>
  <si>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</si>
  <si>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</si>
  <si>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</si>
  <si>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</si>
  <si>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</si>
  <si>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</si>
  <si>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</si>
  <si>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</si>
  <si>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</si>
  <si>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</si>
  <si>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</si>
  <si>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</si>
  <si>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</si>
  <si>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</si>
  <si>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</si>
  <si>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</si>
  <si>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</si>
  <si>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</si>
  <si>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</si>
  <si>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</si>
  <si>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</si>
  <si>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</si>
  <si>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</si>
  <si>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</si>
  <si>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</si>
  <si>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</si>
  <si>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</si>
  <si>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</si>
  <si>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</si>
  <si>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</si>
  <si>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</si>
  <si>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</si>
  <si>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</si>
  <si>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</si>
  <si>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</si>
  <si>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</si>
  <si>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</si>
  <si>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</si>
  <si>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</si>
  <si>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</si>
  <si>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</si>
  <si>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</si>
  <si>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</si>
  <si>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</si>
  <si>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</si>
  <si>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</si>
  <si>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</si>
  <si>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</si>
  <si>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</si>
  <si>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</si>
  <si>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</si>
  <si>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</si>
  <si>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</si>
  <si>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</si>
  <si>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</si>
  <si>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</si>
  <si>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</si>
  <si>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</si>
  <si>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</si>
  <si>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</si>
  <si>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</si>
  <si>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</si>
  <si>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</si>
  <si>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</si>
  <si>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</si>
  <si>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</si>
  <si>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</si>
  <si>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</si>
  <si>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</si>
  <si>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</si>
  <si>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</si>
  <si>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</si>
  <si>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</si>
  <si>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</si>
  <si>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</si>
  <si>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</si>
  <si>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</si>
  <si>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</si>
  <si>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</si>
  <si>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</si>
  <si>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</si>
  <si>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</si>
  <si>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</si>
  <si>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</si>
  <si>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</si>
  <si>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</si>
  <si>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</si>
  <si>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</si>
  <si>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</si>
  <si>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</si>
  <si>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</si>
  <si>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</si>
  <si>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</si>
  <si>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</si>
  <si>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</si>
  <si>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</si>
  <si>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</si>
  <si>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</si>
  <si>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</si>
  <si>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</si>
  <si>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</si>
  <si>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</si>
  <si>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</si>
  <si>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</si>
  <si>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</si>
  <si>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</si>
  <si>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</si>
  <si>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</si>
  <si>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</si>
  <si>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</si>
  <si>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</si>
  <si>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</si>
  <si>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</si>
  <si>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</si>
  <si>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</si>
  <si>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</si>
  <si>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</si>
  <si>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</si>
  <si>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</si>
  <si>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</si>
  <si>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</si>
  <si>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</si>
  <si>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</si>
  <si>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</si>
  <si>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</si>
  <si>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</si>
  <si>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</si>
  <si>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</si>
  <si>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</si>
  <si>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</si>
  <si>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</si>
  <si>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</si>
  <si>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</si>
  <si>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</si>
  <si>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</si>
  <si>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</si>
  <si>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</si>
  <si>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</si>
  <si>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</si>
  <si>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</si>
  <si>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</si>
  <si>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</si>
  <si>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</si>
  <si>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</si>
  <si>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</si>
  <si>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</si>
  <si>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</si>
  <si>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</si>
  <si>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</si>
  <si>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</si>
  <si>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</si>
  <si>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</si>
  <si>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</si>
  <si>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</si>
  <si>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</si>
  <si>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</si>
  <si>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</si>
  <si>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</si>
  <si>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</si>
  <si>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</si>
  <si>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</si>
  <si>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</si>
  <si>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</si>
  <si>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</si>
  <si>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</si>
  <si>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</si>
  <si>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</si>
  <si>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</si>
  <si>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</si>
  <si>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</si>
  <si>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</si>
  <si>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</si>
  <si>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</si>
  <si>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</si>
  <si>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</si>
  <si>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</si>
  <si>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</si>
  <si>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</si>
  <si>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</si>
  <si>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</si>
  <si>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</si>
  <si>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</si>
  <si>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</si>
  <si>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</si>
  <si>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</si>
  <si>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</si>
  <si>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</si>
  <si>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</si>
  <si>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</si>
  <si>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</si>
  <si>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</si>
  <si>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</si>
  <si>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</si>
  <si>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</si>
  <si>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</si>
  <si>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</si>
  <si>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</si>
  <si>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</si>
  <si>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</si>
  <si>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</si>
  <si>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</si>
  <si>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</si>
  <si>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</si>
  <si>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</si>
  <si>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</si>
  <si>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</si>
  <si>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</si>
  <si>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</si>
  <si>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</si>
  <si>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</si>
  <si>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</si>
  <si>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</si>
  <si>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</si>
  <si>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</si>
  <si>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</si>
  <si>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</si>
  <si>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</si>
  <si>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</si>
  <si>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</si>
  <si>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</si>
  <si>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</si>
  <si>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</si>
  <si>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</si>
  <si>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</si>
  <si>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</si>
  <si>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</si>
  <si>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</si>
  <si>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</si>
  <si>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</si>
  <si>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</si>
  <si>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</si>
  <si>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</si>
  <si>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</si>
  <si>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</si>
  <si>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</si>
  <si>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</si>
  <si>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</si>
  <si>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</si>
  <si>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</si>
  <si>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</si>
  <si>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</si>
  <si>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</si>
  <si>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</si>
  <si>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</si>
  <si>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</si>
  <si>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</si>
  <si>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</si>
  <si>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</si>
  <si>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</si>
  <si>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</si>
  <si>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</si>
  <si>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</si>
  <si>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</si>
  <si>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</si>
  <si>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</si>
  <si>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</si>
  <si>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</si>
  <si>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</si>
  <si>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</si>
  <si>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</si>
  <si>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</si>
  <si>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</si>
  <si>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</si>
  <si>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</si>
  <si>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</si>
  <si>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</si>
  <si>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</si>
  <si>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</si>
  <si>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</si>
  <si>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</si>
  <si>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</si>
  <si>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</si>
  <si>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</si>
  <si>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</si>
  <si>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</si>
  <si>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</si>
  <si>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</si>
  <si>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</si>
  <si>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</si>
  <si>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</si>
  <si>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</si>
  <si>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</si>
  <si>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</si>
  <si>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</si>
  <si>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</si>
  <si>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</si>
  <si>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</si>
  <si>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</si>
  <si>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</si>
  <si>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</si>
  <si>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</si>
  <si>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</si>
  <si>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</si>
  <si>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</si>
  <si>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</si>
  <si>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</si>
  <si>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</si>
  <si>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</si>
  <si>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</si>
  <si>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</si>
  <si>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</si>
  <si>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</si>
  <si>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</si>
  <si>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</si>
  <si>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</si>
  <si>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</si>
  <si>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</si>
  <si>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</si>
  <si>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</si>
  <si>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</si>
  <si>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</si>
  <si>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</si>
  <si>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</si>
  <si>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</si>
  <si>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</si>
  <si>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</si>
  <si>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</si>
  <si>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</si>
  <si>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</si>
  <si>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</si>
  <si>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</si>
  <si>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</si>
  <si>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</si>
  <si>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</si>
  <si>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</si>
  <si>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</si>
  <si>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</si>
  <si>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</si>
  <si>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</si>
  <si>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</si>
  <si>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</si>
  <si>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</si>
  <si>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</si>
  <si>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</si>
  <si>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</si>
  <si>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</si>
  <si>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</si>
  <si>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</si>
  <si>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</si>
  <si>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</si>
  <si>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</si>
  <si>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</si>
  <si>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</si>
  <si>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</si>
  <si>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</si>
  <si>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</si>
  <si>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</si>
  <si>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</si>
  <si>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</si>
  <si>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</si>
  <si>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</si>
  <si>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</si>
  <si>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</si>
  <si>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</si>
  <si>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</si>
  <si>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</si>
  <si>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</si>
  <si>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</si>
  <si>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</si>
  <si>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</si>
  <si>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</si>
  <si>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</si>
  <si>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</si>
  <si>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</si>
  <si>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</si>
  <si>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</si>
  <si>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</si>
  <si>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</si>
  <si>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</si>
  <si>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</si>
  <si>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</si>
  <si>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</si>
  <si>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</si>
  <si>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</si>
  <si>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</si>
  <si>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</si>
  <si>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</si>
  <si>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</si>
  <si>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</si>
  <si>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</si>
  <si>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</si>
  <si>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</si>
  <si>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</si>
  <si>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</si>
  <si>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</si>
  <si>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</si>
  <si>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</si>
  <si>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</si>
  <si>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</si>
  <si>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</si>
  <si>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</si>
  <si>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</si>
  <si>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</si>
  <si>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</si>
  <si>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</si>
  <si>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</si>
  <si>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</si>
  <si>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</si>
  <si>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</si>
  <si>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</si>
  <si>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</si>
  <si>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</si>
  <si>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</si>
  <si>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</si>
  <si>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</si>
  <si>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</si>
  <si>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</si>
  <si>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</si>
  <si>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</si>
  <si>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</si>
  <si>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</si>
  <si>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</si>
  <si>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</si>
  <si>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</si>
  <si>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</si>
  <si>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</si>
  <si>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</si>
  <si>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</si>
  <si>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</si>
  <si>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</si>
  <si>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</si>
  <si>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</si>
  <si>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</si>
  <si>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</si>
  <si>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</si>
  <si>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</si>
  <si>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</si>
  <si>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</si>
  <si>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</si>
  <si>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</si>
  <si>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</si>
  <si>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</si>
  <si>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</si>
  <si>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</si>
  <si>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</si>
  <si>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</si>
  <si>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</si>
  <si>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</si>
  <si>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</si>
  <si>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</si>
  <si>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</si>
  <si>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</si>
  <si>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</si>
  <si>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</si>
  <si>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</si>
  <si>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</si>
  <si>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</si>
  <si>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</si>
  <si>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</si>
  <si>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</si>
  <si>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</si>
  <si>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</si>
  <si>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</si>
  <si>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</si>
  <si>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</si>
  <si>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</si>
  <si>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</si>
  <si>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</si>
  <si>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</si>
  <si>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</si>
  <si>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</si>
  <si>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</si>
  <si>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</si>
  <si>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</si>
  <si>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</si>
  <si>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</si>
  <si>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</si>
  <si>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</si>
  <si>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</si>
  <si>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</si>
  <si>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</si>
  <si>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</si>
  <si>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</si>
  <si>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</si>
  <si>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</si>
  <si>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</si>
  <si>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</si>
  <si>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</si>
  <si>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</si>
  <si>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</si>
  <si>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</si>
  <si>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</si>
  <si>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</si>
  <si>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</si>
  <si>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</si>
  <si>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</si>
  <si>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</si>
  <si>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</si>
  <si>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</si>
  <si>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</si>
  <si>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</si>
  <si>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</si>
  <si>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</si>
  <si>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</si>
  <si>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</si>
  <si>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</si>
  <si>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</si>
  <si>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</si>
  <si>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</si>
  <si>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</si>
  <si>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</si>
  <si>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</si>
  <si>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</si>
  <si>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</si>
  <si>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</si>
  <si>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</si>
  <si>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</si>
  <si>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</si>
  <si>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</si>
  <si>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</si>
  <si>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</si>
  <si>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</si>
  <si>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</si>
  <si>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</si>
  <si>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</si>
  <si>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</si>
  <si>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</si>
  <si>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</si>
  <si>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</si>
  <si>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</si>
  <si>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</si>
  <si>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</si>
  <si>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</si>
  <si>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</si>
  <si>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</si>
  <si>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</si>
  <si>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</si>
  <si>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</si>
  <si>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</si>
  <si>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</si>
  <si>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</si>
  <si>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</si>
  <si>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</si>
  <si>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</si>
  <si>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</si>
  <si>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</si>
  <si>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</si>
  <si>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</si>
  <si>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</si>
  <si>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</si>
  <si>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</si>
  <si>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</si>
  <si>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</si>
  <si>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</si>
  <si>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</si>
  <si>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</si>
  <si>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</si>
  <si>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</si>
  <si>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</si>
  <si>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</si>
  <si>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</si>
  <si>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</si>
  <si>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</si>
  <si>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</si>
  <si>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</si>
  <si>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</si>
  <si>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</si>
  <si>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</si>
  <si>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</si>
  <si>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</si>
  <si>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</si>
  <si>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</si>
  <si>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</si>
  <si>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</si>
  <si>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</si>
  <si>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</si>
  <si>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</si>
  <si>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</si>
  <si>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</si>
  <si>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</si>
  <si>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</si>
  <si>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</si>
  <si>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</si>
  <si>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</si>
  <si>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</si>
  <si>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</si>
  <si>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</si>
  <si>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</si>
  <si>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</si>
  <si>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</si>
  <si>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</si>
  <si>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</si>
  <si>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</si>
  <si>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</si>
  <si>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</si>
  <si>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</si>
  <si>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</si>
  <si>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</si>
  <si>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</si>
  <si>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</si>
  <si>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</si>
  <si>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</si>
  <si>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</si>
  <si>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</si>
  <si>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</si>
  <si>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</si>
  <si>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</si>
  <si>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</si>
  <si>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</si>
  <si>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</si>
  <si>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</si>
  <si>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</si>
  <si>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</si>
  <si>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</si>
  <si>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</si>
  <si>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</si>
  <si>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</si>
  <si>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</si>
  <si>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</si>
  <si>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</si>
  <si>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</si>
  <si>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</si>
  <si>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</si>
  <si>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</si>
  <si>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</si>
  <si>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</si>
  <si>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</si>
  <si>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</si>
  <si>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</si>
  <si>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</si>
  <si>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</si>
  <si>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</si>
  <si>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</si>
  <si>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</si>
  <si>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</si>
  <si>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</si>
  <si>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</si>
  <si>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</si>
  <si>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</si>
  <si>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</si>
  <si>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</si>
  <si>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</si>
  <si>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</si>
  <si>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</si>
  <si>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</si>
  <si>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</si>
  <si>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</si>
  <si>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</si>
  <si>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</si>
  <si>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</si>
  <si>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</si>
  <si>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</si>
  <si>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</si>
  <si>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</si>
  <si>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</si>
  <si>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</si>
  <si>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</si>
  <si>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</si>
  <si>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</si>
  <si>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</si>
  <si>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</si>
  <si>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</si>
  <si>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</si>
  <si>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</si>
  <si>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</si>
  <si>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</si>
  <si>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</si>
  <si>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</si>
  <si>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</si>
  <si>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</si>
  <si>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</si>
  <si>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</si>
  <si>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</si>
  <si>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</si>
  <si>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</si>
  <si>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</si>
  <si>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</si>
  <si>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</si>
  <si>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</si>
  <si>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</si>
  <si>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</si>
  <si>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</si>
  <si>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</si>
  <si>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</si>
  <si>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</si>
  <si>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</si>
  <si>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</si>
  <si>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</si>
  <si>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</si>
  <si>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</si>
  <si>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</si>
  <si>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</si>
  <si>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</si>
  <si>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</si>
  <si>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</si>
  <si>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</si>
  <si>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</si>
  <si>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</si>
  <si>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</si>
  <si>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</si>
  <si>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</si>
  <si>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</si>
  <si>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</si>
  <si>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</si>
  <si>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</si>
  <si>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</si>
  <si>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</si>
  <si>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</si>
  <si>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</si>
  <si>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</si>
  <si>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</si>
  <si>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</si>
  <si>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</si>
  <si>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</si>
  <si>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</si>
  <si>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</si>
  <si>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</si>
  <si>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</si>
  <si>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</si>
  <si>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</si>
  <si>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</si>
  <si>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</si>
  <si>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</si>
  <si>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</si>
  <si>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</si>
  <si>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</si>
  <si>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</si>
  <si>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</si>
  <si>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</si>
  <si>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</si>
  <si>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</si>
  <si>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</si>
  <si>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</si>
  <si>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</si>
  <si>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</si>
  <si>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</si>
  <si>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</si>
  <si>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</si>
  <si>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</si>
  <si>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</si>
  <si>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</si>
  <si>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</si>
  <si>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</si>
  <si>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</si>
  <si>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</si>
  <si>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</si>
  <si>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</si>
  <si>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</si>
  <si>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</si>
  <si>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</si>
  <si>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</si>
  <si>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</si>
  <si>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</si>
  <si>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</si>
  <si>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</si>
  <si>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</si>
  <si>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</si>
  <si>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</si>
  <si>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</si>
  <si>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</si>
  <si>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</si>
  <si>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</si>
  <si>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</si>
  <si>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</si>
  <si>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</si>
  <si>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</si>
  <si>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</si>
  <si>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</si>
  <si>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</si>
  <si>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</si>
  <si>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</si>
  <si>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</si>
  <si>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</si>
  <si>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</si>
  <si>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</si>
  <si>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</si>
  <si>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</si>
  <si>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</si>
  <si>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</si>
  <si>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</si>
  <si>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</si>
  <si>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</si>
  <si>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</si>
  <si>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</si>
  <si>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</si>
  <si>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</si>
  <si>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</si>
  <si>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</si>
  <si>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</si>
  <si>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</si>
  <si>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</si>
  <si>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</si>
  <si>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</si>
  <si>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</si>
  <si>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</si>
  <si>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</si>
  <si>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</si>
  <si>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</si>
  <si>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</si>
  <si>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</si>
  <si>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</si>
  <si>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</si>
  <si>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</si>
  <si>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</si>
  <si>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</si>
  <si>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</si>
  <si>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</si>
  <si>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</si>
  <si>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</si>
  <si>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</si>
  <si>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</si>
  <si>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</si>
  <si>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</si>
  <si>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</si>
  <si>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</si>
  <si>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</si>
  <si>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</si>
  <si>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</si>
  <si>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</si>
  <si>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</si>
  <si>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</si>
  <si>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</si>
  <si>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</si>
  <si>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</si>
  <si>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</si>
  <si>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</si>
  <si>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</si>
  <si>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</si>
  <si>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</si>
  <si>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</si>
  <si>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</si>
  <si>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</si>
  <si>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</si>
  <si>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</si>
  <si>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</si>
  <si>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</si>
  <si>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</si>
  <si>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</si>
  <si>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</si>
  <si>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</si>
  <si>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</si>
  <si>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</si>
  <si>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</si>
  <si>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</si>
  <si>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</si>
  <si>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</si>
  <si>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</si>
  <si>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</si>
  <si>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</si>
  <si>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</si>
  <si>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</si>
  <si>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</si>
  <si>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</si>
  <si>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</si>
  <si>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</si>
  <si>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</si>
  <si>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</si>
  <si>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</si>
  <si>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</si>
  <si>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</si>
  <si>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</si>
  <si>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</si>
  <si>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</si>
  <si>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</si>
  <si>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</si>
  <si>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</si>
  <si>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</si>
  <si>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</si>
  <si>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</si>
  <si>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</si>
  <si>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</si>
  <si>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</si>
  <si>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</si>
  <si>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</si>
  <si>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</si>
  <si>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</si>
  <si>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</si>
  <si>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</si>
  <si>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</si>
  <si>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</si>
  <si>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</si>
  <si>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</si>
  <si>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</si>
  <si>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</si>
  <si>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</si>
  <si>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</si>
  <si>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</si>
  <si>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</si>
  <si>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</si>
  <si>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</si>
  <si>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</si>
  <si>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</si>
  <si>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</si>
  <si>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</si>
  <si>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</si>
  <si>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</si>
  <si>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</si>
  <si>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</si>
  <si>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</si>
  <si>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</si>
  <si>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</si>
  <si>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</si>
  <si>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</si>
  <si>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</si>
  <si>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</si>
  <si>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</si>
  <si>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</si>
  <si>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</si>
  <si>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</si>
  <si>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</si>
  <si>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</si>
  <si>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</si>
  <si>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</si>
  <si>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</si>
  <si>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</si>
  <si>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</si>
  <si>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</si>
  <si>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</si>
  <si>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</si>
  <si>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</si>
  <si>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</si>
  <si>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</si>
  <si>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</si>
  <si>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</si>
  <si>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</si>
  <si>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</si>
  <si>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</si>
  <si>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</si>
  <si>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</si>
  <si>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</si>
  <si>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</si>
  <si>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</si>
  <si>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</si>
  <si>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</si>
  <si>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</si>
  <si>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</si>
  <si>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</si>
  <si>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</si>
  <si>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</si>
  <si>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</si>
  <si>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</si>
  <si>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</si>
  <si>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</si>
  <si>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</si>
  <si>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</si>
  <si>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</si>
  <si>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</si>
  <si>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</si>
  <si>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</si>
  <si>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</si>
  <si>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</si>
  <si>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</si>
  <si>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</si>
  <si>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</si>
  <si>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</si>
  <si>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</si>
  <si>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</si>
  <si>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</si>
  <si>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</si>
  <si>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</si>
  <si>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</si>
  <si>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</si>
  <si>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</si>
  <si>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</si>
  <si>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</si>
  <si>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</si>
  <si>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</si>
  <si>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</si>
  <si>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</si>
  <si>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</si>
  <si>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</si>
  <si>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</si>
  <si>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</si>
  <si>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</si>
  <si>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</si>
  <si>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</si>
  <si>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</si>
  <si>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</si>
  <si>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</si>
  <si>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</si>
  <si>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</si>
  <si>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</si>
  <si>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</si>
  <si>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</si>
  <si>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</si>
  <si>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</si>
  <si>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</si>
  <si>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</si>
  <si>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</si>
  <si>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</si>
  <si>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</si>
  <si>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</si>
  <si>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</si>
  <si>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</si>
  <si>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</si>
  <si>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</si>
  <si>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</si>
  <si>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</si>
  <si>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</si>
  <si>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</si>
  <si>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</si>
  <si>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</si>
  <si>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</si>
  <si>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</si>
  <si>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</si>
  <si>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</si>
  <si>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</si>
  <si>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</si>
  <si>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</si>
  <si>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</si>
  <si>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</si>
  <si>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</si>
  <si>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</si>
  <si>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</si>
  <si>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</si>
  <si>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</si>
  <si>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</si>
  <si>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</si>
  <si>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</si>
  <si>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</si>
  <si>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</si>
  <si>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</si>
  <si>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</si>
  <si>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</si>
  <si>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</si>
  <si>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</si>
  <si>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</si>
  <si>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</si>
  <si>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</si>
  <si>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</si>
  <si>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</si>
  <si>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</si>
  <si>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</si>
  <si>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</si>
  <si>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</si>
  <si>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</si>
  <si>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</si>
  <si>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</si>
  <si>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</si>
  <si>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</si>
  <si>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</si>
  <si>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</si>
  <si>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</si>
  <si>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</si>
  <si>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</si>
  <si>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</si>
  <si>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</si>
  <si>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</si>
  <si>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</si>
  <si>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</si>
  <si>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</si>
  <si>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</si>
  <si>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</si>
  <si>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</si>
  <si>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</si>
  <si>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</si>
  <si>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</si>
  <si>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</si>
  <si>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</si>
  <si>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</si>
  <si>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</si>
  <si>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</si>
  <si>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</si>
  <si>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</si>
  <si>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</si>
  <si>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</si>
  <si>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</si>
  <si>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</si>
  <si>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</si>
  <si>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</si>
  <si>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</si>
  <si>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</si>
  <si>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</si>
  <si>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</si>
  <si>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</si>
  <si>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</si>
  <si>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</si>
  <si>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</si>
  <si>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</si>
  <si>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</si>
  <si>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</si>
  <si>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</si>
  <si>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</si>
  <si>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</si>
  <si>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</si>
  <si>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</si>
  <si>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</si>
  <si>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</si>
  <si>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</si>
  <si>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</si>
  <si>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</si>
  <si>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</si>
  <si>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</si>
  <si>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</si>
  <si>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</si>
  <si>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</si>
  <si>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</si>
  <si>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</si>
  <si>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</si>
  <si>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</si>
  <si>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</si>
  <si>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</si>
  <si>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</si>
  <si>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</si>
  <si>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</si>
  <si>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</si>
  <si>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</si>
  <si>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</si>
  <si>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</si>
  <si>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</si>
  <si>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</si>
  <si>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</si>
  <si>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</si>
  <si>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</si>
  <si>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</si>
  <si>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</si>
  <si>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</si>
  <si>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</si>
  <si>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</si>
  <si>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</si>
  <si>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</si>
  <si>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</si>
  <si>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</si>
  <si>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</si>
  <si>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</si>
  <si>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</si>
  <si>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</si>
  <si>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</si>
  <si>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</si>
  <si>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</si>
  <si>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</si>
  <si>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</si>
  <si>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</si>
  <si>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</si>
  <si>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</si>
  <si>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</si>
  <si>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</si>
  <si>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</si>
  <si>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</si>
  <si>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</si>
  <si>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</si>
  <si>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</si>
  <si>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</si>
  <si>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</si>
  <si>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</si>
  <si>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</si>
  <si>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</si>
  <si>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</si>
  <si>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</si>
  <si>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</si>
  <si>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</si>
  <si>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</si>
  <si>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</si>
  <si>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</si>
  <si>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</si>
  <si>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</si>
  <si>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</si>
  <si>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</si>
  <si>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</si>
  <si>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</si>
  <si>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</si>
  <si>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</si>
  <si>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</si>
  <si>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</si>
  <si>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</si>
  <si>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</si>
  <si>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</si>
  <si>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</si>
  <si>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</si>
  <si>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</si>
  <si>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</si>
  <si>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</si>
  <si>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</si>
  <si>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</si>
  <si>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</si>
  <si>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</si>
  <si>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</si>
  <si>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</si>
  <si>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</si>
  <si>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</si>
  <si>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</si>
  <si>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</si>
  <si>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</si>
  <si>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</si>
  <si>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</si>
  <si>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</si>
  <si>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</si>
  <si>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</si>
  <si>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</si>
  <si>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</si>
  <si>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</si>
  <si>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</si>
  <si>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</si>
  <si>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</si>
  <si>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</si>
  <si>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</si>
  <si>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</si>
  <si>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</si>
  <si>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</si>
  <si>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</si>
  <si>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</si>
  <si>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</si>
  <si>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</si>
  <si>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</si>
  <si>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</si>
  <si>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</si>
  <si>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</si>
  <si>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</si>
  <si>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</si>
  <si>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</si>
  <si>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</si>
  <si>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</si>
  <si>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</si>
  <si>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</si>
  <si>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</si>
  <si>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</si>
  <si>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</si>
  <si>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</si>
  <si>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</si>
  <si>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</si>
  <si>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</si>
  <si>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</si>
  <si>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</si>
  <si>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</si>
  <si>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</si>
  <si>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</si>
  <si>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</si>
  <si>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</si>
  <si>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</si>
  <si>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</si>
  <si>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</si>
  <si>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</si>
  <si>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</si>
  <si>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</si>
  <si>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</si>
  <si>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</si>
  <si>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</si>
  <si>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</si>
  <si>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</si>
  <si>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</si>
  <si>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</si>
  <si>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</si>
  <si>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</si>
  <si>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</si>
  <si>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</si>
  <si>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</si>
  <si>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</si>
  <si>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</si>
  <si>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</si>
  <si>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</si>
  <si>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</si>
  <si>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</si>
  <si>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</si>
  <si>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</si>
  <si>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</si>
  <si>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</si>
  <si>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</si>
  <si>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</si>
  <si>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</si>
  <si>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</si>
  <si>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</si>
  <si>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</si>
  <si>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</si>
  <si>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</si>
  <si>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</si>
  <si>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</si>
  <si>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</si>
  <si>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</si>
  <si>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</si>
  <si>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</si>
  <si>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</si>
  <si>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</si>
  <si>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</si>
  <si>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</si>
  <si>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</si>
  <si>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</si>
  <si>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</si>
  <si>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</si>
  <si>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</si>
  <si>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</si>
  <si>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</si>
  <si>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</si>
  <si>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</si>
  <si>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</si>
  <si>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</si>
  <si>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</si>
  <si>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</si>
  <si>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</si>
  <si>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</si>
  <si>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</si>
  <si>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</si>
  <si>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</si>
  <si>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</si>
  <si>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</si>
  <si>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</si>
  <si>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</si>
  <si>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</si>
  <si>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</si>
  <si>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</si>
  <si>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</si>
  <si>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</si>
  <si>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</si>
  <si>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</si>
  <si>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</si>
  <si>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</si>
  <si>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</si>
  <si>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</si>
  <si>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</si>
  <si>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</si>
  <si>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</si>
  <si>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</si>
  <si>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</si>
  <si>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</si>
  <si>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</si>
  <si>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</si>
  <si>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</si>
  <si>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</si>
  <si>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</si>
  <si>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</si>
  <si>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</si>
  <si>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</si>
  <si>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</si>
  <si>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</si>
  <si>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</si>
  <si>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</si>
  <si>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</si>
  <si>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</si>
  <si>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</si>
  <si>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</si>
  <si>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</si>
  <si>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</si>
  <si>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</si>
  <si>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</si>
  <si>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</si>
  <si>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</si>
  <si>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</si>
  <si>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</si>
  <si>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</si>
  <si>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</si>
  <si>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</si>
  <si>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</si>
  <si>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</si>
  <si>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</si>
  <si>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</si>
  <si>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</si>
  <si>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</si>
  <si>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</si>
  <si>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</si>
  <si>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</si>
  <si>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</si>
  <si>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</si>
  <si>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</si>
  <si>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</si>
  <si>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</si>
  <si>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</si>
  <si>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</si>
  <si>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</si>
  <si>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</si>
  <si>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</si>
  <si>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</si>
  <si>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</si>
  <si>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</si>
  <si>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</si>
  <si>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</si>
  <si>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</si>
  <si>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</si>
  <si>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</si>
  <si>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</si>
  <si>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</si>
  <si>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</si>
  <si>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</si>
  <si>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</si>
  <si>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</si>
  <si>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</si>
  <si>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</si>
  <si>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</si>
  <si>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</si>
  <si>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</si>
  <si>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</si>
  <si>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</si>
  <si>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</si>
  <si>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</si>
  <si>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</si>
  <si>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</si>
  <si>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</si>
  <si>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</si>
  <si>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</si>
  <si>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</si>
  <si>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</si>
  <si>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</si>
  <si>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</si>
  <si>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</si>
  <si>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</si>
  <si>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</si>
  <si>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</si>
  <si>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</si>
  <si>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</si>
  <si>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</si>
  <si>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</si>
  <si>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</si>
  <si>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</si>
  <si>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</si>
  <si>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</si>
  <si>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</si>
  <si>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</si>
  <si>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</si>
  <si>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</si>
  <si>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</si>
  <si>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</si>
  <si>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</si>
  <si>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</si>
  <si>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</si>
  <si>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</si>
  <si>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</si>
  <si>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</si>
  <si>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</si>
  <si>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</si>
  <si>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</si>
  <si>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</si>
  <si>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</si>
  <si>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</si>
  <si>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</si>
  <si>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</si>
  <si>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</si>
  <si>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</si>
  <si>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</si>
  <si>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</si>
  <si>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</si>
  <si>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</si>
  <si>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</si>
  <si>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</si>
  <si>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</si>
  <si>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</si>
  <si>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</si>
  <si>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</si>
  <si>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</si>
  <si>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</si>
  <si>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</si>
  <si>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</si>
  <si>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</si>
  <si>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</si>
  <si>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</si>
  <si>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</si>
  <si>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</si>
  <si>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</si>
  <si>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</si>
  <si>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</si>
  <si>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</si>
  <si>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</si>
  <si>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</si>
  <si>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</si>
  <si>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</si>
  <si>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</si>
  <si>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</si>
  <si>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</si>
  <si>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</si>
  <si>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</si>
  <si>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</si>
  <si>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</si>
  <si>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</si>
  <si>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</si>
  <si>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</si>
  <si>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</si>
  <si>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</si>
  <si>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</si>
  <si>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</si>
  <si>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</si>
  <si>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</si>
  <si>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</si>
  <si>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</si>
  <si>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</si>
  <si>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</si>
  <si>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</si>
  <si>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</si>
  <si>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</si>
  <si>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</si>
  <si>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</si>
  <si>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</si>
  <si>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</si>
  <si>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</si>
  <si>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</si>
  <si>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</si>
  <si>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</si>
  <si>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</si>
  <si>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</si>
  <si>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</si>
  <si>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</si>
  <si>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</si>
  <si>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</si>
  <si>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</si>
  <si>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</si>
  <si>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</si>
  <si>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</si>
  <si>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</si>
  <si>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</si>
  <si>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</si>
  <si>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</si>
  <si>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</si>
  <si>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</si>
  <si>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</si>
  <si>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</si>
  <si>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</si>
  <si>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</si>
  <si>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</si>
  <si>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</si>
  <si>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</si>
  <si>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</si>
  <si>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</si>
  <si>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</si>
  <si>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</si>
  <si>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</si>
  <si>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</si>
  <si>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</si>
  <si>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</si>
  <si>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</si>
  <si>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</si>
  <si>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</si>
  <si>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</si>
  <si>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</si>
  <si>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</si>
  <si>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</si>
  <si>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</si>
  <si>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</si>
  <si>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</si>
  <si>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</si>
  <si>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</si>
  <si>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</si>
  <si>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</si>
  <si>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</si>
  <si>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</si>
  <si>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</si>
  <si>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</si>
  <si>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</si>
  <si>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</si>
  <si>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</si>
  <si>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</si>
  <si>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</si>
  <si>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</si>
  <si>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</si>
  <si>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</si>
  <si>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</si>
  <si>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</si>
  <si>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</si>
  <si>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</si>
  <si>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</si>
  <si>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</si>
  <si>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</si>
  <si>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</si>
  <si>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</si>
  <si>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</si>
  <si>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</si>
  <si>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</si>
  <si>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</si>
  <si>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</si>
  <si>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</si>
  <si>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</si>
  <si>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</si>
  <si>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</si>
  <si>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</si>
  <si>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</si>
  <si>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</si>
  <si>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</si>
  <si>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</si>
  <si>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</si>
  <si>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</si>
  <si>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</si>
  <si>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</si>
  <si>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</si>
  <si>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</si>
  <si>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</si>
  <si>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</si>
  <si>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</si>
  <si>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</si>
  <si>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</si>
  <si>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</si>
  <si>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</si>
  <si>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</si>
  <si>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</si>
  <si>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</si>
  <si>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</si>
  <si>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</si>
  <si>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</si>
  <si>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</si>
  <si>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</si>
  <si>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</si>
  <si>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</si>
  <si>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</si>
  <si>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</si>
  <si>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</si>
  <si>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</si>
  <si>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</si>
  <si>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</si>
  <si>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</si>
  <si>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</si>
  <si>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</si>
  <si>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</si>
  <si>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</si>
  <si>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</si>
  <si>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</si>
  <si>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</si>
  <si>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</si>
  <si>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</si>
  <si>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</si>
  <si>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</si>
  <si>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</si>
  <si>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</si>
  <si>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</si>
  <si>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</si>
  <si>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</si>
  <si>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</si>
  <si>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</si>
  <si>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</si>
  <si>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</si>
  <si>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</si>
  <si>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</si>
  <si>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</si>
  <si>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</si>
  <si>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</si>
  <si>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</si>
  <si>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</si>
  <si>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</si>
  <si>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</si>
  <si>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</si>
  <si>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</si>
  <si>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</si>
  <si>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</si>
  <si>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</si>
  <si>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</si>
  <si>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</si>
  <si>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</si>
  <si>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</si>
  <si>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</si>
  <si>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</si>
  <si>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</si>
  <si>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</si>
  <si>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</si>
  <si>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</si>
  <si>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</si>
  <si>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</si>
  <si>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</si>
  <si>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</si>
  <si>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</si>
  <si>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</si>
  <si>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</si>
  <si>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</si>
  <si>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</si>
  <si>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</si>
  <si>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</si>
  <si>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</si>
  <si>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</si>
  <si>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</si>
  <si>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</si>
  <si>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</si>
  <si>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</si>
  <si>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</si>
  <si>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</si>
  <si>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</si>
  <si>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</si>
  <si>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</si>
  <si>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</si>
  <si>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</si>
  <si>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</si>
  <si>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</si>
  <si>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</si>
  <si>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</si>
  <si>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</si>
  <si>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</si>
  <si>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</si>
  <si>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</si>
  <si>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</si>
  <si>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</si>
  <si>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</si>
  <si>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</si>
  <si>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</si>
  <si>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</si>
  <si>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</si>
  <si>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</si>
  <si>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</si>
  <si>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</si>
  <si>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</si>
  <si>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</si>
  <si>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</si>
  <si>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</si>
  <si>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</si>
  <si>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</si>
  <si>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</si>
  <si>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</si>
  <si>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</si>
  <si>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</si>
  <si>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</si>
  <si>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</si>
  <si>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</si>
  <si>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</si>
  <si>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</si>
  <si>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</si>
  <si>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</si>
  <si>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</si>
  <si>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</si>
  <si>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</si>
  <si>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</si>
  <si>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</si>
  <si>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</si>
  <si>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</si>
  <si>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</si>
  <si>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</si>
  <si>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</si>
  <si>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</si>
  <si>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</si>
  <si>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</si>
  <si>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</si>
  <si>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</si>
  <si>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</si>
  <si>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</si>
  <si>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</si>
  <si>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</si>
  <si>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</si>
  <si>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</si>
  <si>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</si>
  <si>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</si>
  <si>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</si>
  <si>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</si>
  <si>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</si>
  <si>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</si>
  <si>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</si>
  <si>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</si>
  <si>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</si>
  <si>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</si>
  <si>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</si>
  <si>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</si>
  <si>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</si>
  <si>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</si>
  <si>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</si>
  <si>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</si>
  <si>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</si>
  <si>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</si>
  <si>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</si>
  <si>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</si>
  <si>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</si>
  <si>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</si>
  <si>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</si>
  <si>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</si>
  <si>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</si>
  <si>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</si>
  <si>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</si>
  <si>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</si>
  <si>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</si>
  <si>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</si>
  <si>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</si>
  <si>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</si>
  <si>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</si>
  <si>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</si>
  <si>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</si>
  <si>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</si>
  <si>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</si>
  <si>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</si>
  <si>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</si>
  <si>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</si>
  <si>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</si>
  <si>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</si>
  <si>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</si>
  <si>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</si>
  <si>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</si>
  <si>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</si>
  <si>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</si>
  <si>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</si>
  <si>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</si>
  <si>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</si>
  <si>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</si>
  <si>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</si>
  <si>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</si>
  <si>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</si>
  <si>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</si>
  <si>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</si>
  <si>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</si>
  <si>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</si>
  <si>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</si>
  <si>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</si>
  <si>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</si>
  <si>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</si>
  <si>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</si>
  <si>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</si>
  <si>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</si>
  <si>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</si>
  <si>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</si>
  <si>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</si>
  <si>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</si>
  <si>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</si>
  <si>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</si>
  <si>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</si>
  <si>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</si>
  <si>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</si>
  <si>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</si>
  <si>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</si>
  <si>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</si>
  <si>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</si>
  <si>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</si>
  <si>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</si>
  <si>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</si>
  <si>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</si>
  <si>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</si>
  <si>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</si>
  <si>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</si>
  <si>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</si>
  <si>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</si>
  <si>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</si>
  <si>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</si>
  <si>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</si>
  <si>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</si>
  <si>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</si>
  <si>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</si>
  <si>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</si>
  <si>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</si>
  <si>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</si>
  <si>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</si>
  <si>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</si>
  <si>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</si>
  <si>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</si>
  <si>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</si>
  <si>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</si>
  <si>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</si>
  <si>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</si>
  <si>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</si>
  <si>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</si>
  <si>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</si>
  <si>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</si>
  <si>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</si>
  <si>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</si>
  <si>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</si>
  <si>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</si>
  <si>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</si>
  <si>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</si>
  <si>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</si>
  <si>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</si>
  <si>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</si>
  <si>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</si>
  <si>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</si>
  <si>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</si>
  <si>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</si>
  <si>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</si>
  <si>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</si>
  <si>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</si>
  <si>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</si>
  <si>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</si>
  <si>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</si>
  <si>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</si>
  <si>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</si>
  <si>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</si>
  <si>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</si>
  <si>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</si>
  <si>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</si>
  <si>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</si>
  <si>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</si>
  <si>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</si>
  <si>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</si>
  <si>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</si>
  <si>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</si>
  <si>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</si>
  <si>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</si>
  <si>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</si>
  <si>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</si>
  <si>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</si>
  <si>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</si>
  <si>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</si>
  <si>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</si>
  <si>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</si>
  <si>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</si>
  <si>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</si>
  <si>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</si>
  <si>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</si>
  <si>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</si>
  <si>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</si>
  <si>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</si>
  <si>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</si>
  <si>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</si>
  <si>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</si>
  <si>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</si>
  <si>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</si>
  <si>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</si>
  <si>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</si>
  <si>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</si>
  <si>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</si>
  <si>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</si>
  <si>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</si>
  <si>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</si>
  <si>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</si>
  <si>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</si>
  <si>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</si>
  <si>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</si>
  <si>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</si>
  <si>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</si>
  <si>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</si>
  <si>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</si>
  <si>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</si>
  <si>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</si>
  <si>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</si>
  <si>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</si>
  <si>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</si>
  <si>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</si>
  <si>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</si>
  <si>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</si>
  <si>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</si>
  <si>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</si>
  <si>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</si>
  <si>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</si>
  <si>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</si>
  <si>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</si>
  <si>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</si>
  <si>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</si>
  <si>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</si>
  <si>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</si>
  <si>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</si>
  <si>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</si>
  <si>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</si>
  <si>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</si>
  <si>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</si>
  <si>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</si>
  <si>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</si>
  <si>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</si>
  <si>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</si>
  <si>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</si>
  <si>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</si>
  <si>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</si>
  <si>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</si>
  <si>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</si>
  <si>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</si>
  <si>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</si>
  <si>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</si>
  <si>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</si>
  <si>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</si>
  <si>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</si>
  <si>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</si>
  <si>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</si>
  <si>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</si>
  <si>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</si>
  <si>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</si>
  <si>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</si>
  <si>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</si>
  <si>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</si>
  <si>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</si>
  <si>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</si>
  <si>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</si>
  <si>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</si>
  <si>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</si>
  <si>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</si>
  <si>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</si>
  <si>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</si>
  <si>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</si>
  <si>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</si>
  <si>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</si>
  <si>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</si>
  <si>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</si>
  <si>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</si>
  <si>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</si>
  <si>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</si>
  <si>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</si>
  <si>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</si>
  <si>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</si>
  <si>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</si>
  <si>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</si>
  <si>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</si>
  <si>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</si>
  <si>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</si>
  <si>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</si>
  <si>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</si>
  <si>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</si>
  <si>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</si>
  <si>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</si>
  <si>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</si>
  <si>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</si>
  <si>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</si>
  <si>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</si>
  <si>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</si>
  <si>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</si>
  <si>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</si>
  <si>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</si>
  <si>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</si>
  <si>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</si>
  <si>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</si>
  <si>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</si>
  <si>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</si>
  <si>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</si>
  <si>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</si>
  <si>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</si>
  <si>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</si>
  <si>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</si>
  <si>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</si>
  <si>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</si>
  <si>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</si>
  <si>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</si>
  <si>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</si>
  <si>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</si>
  <si>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</si>
  <si>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</si>
  <si>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</si>
  <si>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</si>
  <si>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</si>
  <si>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</si>
  <si>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</si>
  <si>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</si>
  <si>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</si>
  <si>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</si>
  <si>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</si>
  <si>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</si>
  <si>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</si>
  <si>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</si>
  <si>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</si>
  <si>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</si>
  <si>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</si>
  <si>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</si>
  <si>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</si>
  <si>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</si>
  <si>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</si>
  <si>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</si>
  <si>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</si>
  <si>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</si>
  <si>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</si>
  <si>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</si>
  <si>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</si>
  <si>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</si>
  <si>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</si>
  <si>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</si>
  <si>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</si>
  <si>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</si>
  <si>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</si>
  <si>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</si>
  <si>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</si>
  <si>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</si>
  <si>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</si>
  <si>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</si>
  <si>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</si>
  <si>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</si>
  <si>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</si>
  <si>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</si>
  <si>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</si>
  <si>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</si>
  <si>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</si>
  <si>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</si>
  <si>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</si>
  <si>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</si>
  <si>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</si>
  <si>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</si>
  <si>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</si>
  <si>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</si>
  <si>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</si>
  <si>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</si>
  <si>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</si>
  <si>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</si>
  <si>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</si>
  <si>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</si>
  <si>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</si>
  <si>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</si>
  <si>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</si>
  <si>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</si>
  <si>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</si>
  <si>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</si>
  <si>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</si>
  <si>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</si>
  <si>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</si>
  <si>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</si>
  <si>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</si>
  <si>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</si>
  <si>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</si>
  <si>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</si>
  <si>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</si>
  <si>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</si>
  <si>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</si>
  <si>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</si>
  <si>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</si>
  <si>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</si>
  <si>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</si>
  <si>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</si>
  <si>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</si>
  <si>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</si>
  <si>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</si>
  <si>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</si>
  <si>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</si>
  <si>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</si>
  <si>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</si>
  <si>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</si>
  <si>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</si>
  <si>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</si>
  <si>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</si>
  <si>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</si>
  <si>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</si>
  <si>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</si>
  <si>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</si>
  <si>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</si>
  <si>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</si>
  <si>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</si>
  <si>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</si>
  <si>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</si>
  <si>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</si>
  <si>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</si>
  <si>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</si>
  <si>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</si>
  <si>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</si>
  <si>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</si>
  <si>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</si>
  <si>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</si>
  <si>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</si>
  <si>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</si>
  <si>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</si>
  <si>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</si>
  <si>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</si>
  <si>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</si>
  <si>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</si>
  <si>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</si>
  <si>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</si>
  <si>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</si>
  <si>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</si>
  <si>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</si>
  <si>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</si>
  <si>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</si>
  <si>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</si>
  <si>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</si>
  <si>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</si>
  <si>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</si>
  <si>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</si>
  <si>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</si>
  <si>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</si>
  <si>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</si>
  <si>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</si>
  <si>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</si>
  <si>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</si>
  <si>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</si>
  <si>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</si>
  <si>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</si>
  <si>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</si>
  <si>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</si>
  <si>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</si>
  <si>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</si>
  <si>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</si>
  <si>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</si>
  <si>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</si>
  <si>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</si>
  <si>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</si>
  <si>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</si>
  <si>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</si>
  <si>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</si>
  <si>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</si>
  <si>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</si>
  <si>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</si>
  <si>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</si>
  <si>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</si>
  <si>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</si>
  <si>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</si>
  <si>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</si>
  <si>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</si>
  <si>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</si>
  <si>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</si>
  <si>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</si>
  <si>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</si>
  <si>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</si>
  <si>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</si>
  <si>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</si>
  <si>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</si>
  <si>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</si>
  <si>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</si>
  <si>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</si>
  <si>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</si>
  <si>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</si>
  <si>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</si>
  <si>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</si>
  <si>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</si>
  <si>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</si>
  <si>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</si>
  <si>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</si>
  <si>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</si>
  <si>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</si>
  <si>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</si>
  <si>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</si>
  <si>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</si>
  <si>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</si>
  <si>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</si>
  <si>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</si>
  <si>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</si>
  <si>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</si>
  <si>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</si>
  <si>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</si>
  <si>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</si>
  <si>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</si>
  <si>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</si>
  <si>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</si>
  <si>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</si>
  <si>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</si>
  <si>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</si>
  <si>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</si>
  <si>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</si>
  <si>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</si>
  <si>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</si>
  <si>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</si>
  <si>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</si>
  <si>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</si>
  <si>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</si>
  <si>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</si>
  <si>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</si>
  <si>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</si>
  <si>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</si>
  <si>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</si>
  <si>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</si>
  <si>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</si>
  <si>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</si>
  <si>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</si>
  <si>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</si>
  <si>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</si>
  <si>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</si>
  <si>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</si>
  <si>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</si>
  <si>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</si>
  <si>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</si>
  <si>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</si>
  <si>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</si>
  <si>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</si>
  <si>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</si>
  <si>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</si>
  <si>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</si>
  <si>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</si>
  <si>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</si>
  <si>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</si>
  <si>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</si>
  <si>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</si>
  <si>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</si>
  <si>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</si>
  <si>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</si>
  <si>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</si>
  <si>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</si>
  <si>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</si>
  <si>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</si>
  <si>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</si>
  <si>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</si>
  <si>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</si>
  <si>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</si>
  <si>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</si>
  <si>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</si>
  <si>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</si>
  <si>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</si>
  <si>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</si>
  <si>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</si>
  <si>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</si>
  <si>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</si>
  <si>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</si>
  <si>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</si>
  <si>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</si>
  <si>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</si>
  <si>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</si>
  <si>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</si>
  <si>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</si>
  <si>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</si>
  <si>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</si>
  <si>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</si>
  <si>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</si>
  <si>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</si>
  <si>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</si>
  <si>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</si>
  <si>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</si>
  <si>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</si>
  <si>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</si>
  <si>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</si>
  <si>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</si>
  <si>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</si>
  <si>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</si>
  <si>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</si>
  <si>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</si>
  <si>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</si>
  <si>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</si>
  <si>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</si>
  <si>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</si>
  <si>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</si>
  <si>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</si>
  <si>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</si>
  <si>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</si>
  <si>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</si>
  <si>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</si>
  <si>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</si>
  <si>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</si>
  <si>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</si>
  <si>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</si>
  <si>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</si>
  <si>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</si>
  <si>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</si>
  <si>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</si>
  <si>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</si>
  <si>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</si>
  <si>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</si>
  <si>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</si>
  <si>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</si>
  <si>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</si>
  <si>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</si>
  <si>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</si>
  <si>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</si>
  <si>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</si>
  <si>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</si>
  <si>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</si>
  <si>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</si>
  <si>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</si>
  <si>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</si>
  <si>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</si>
  <si>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</si>
  <si>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</si>
  <si>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</si>
  <si>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</si>
  <si>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</si>
  <si>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</si>
  <si>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</si>
  <si>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</si>
  <si>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</si>
  <si>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</si>
  <si>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</si>
  <si>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</si>
  <si>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</si>
  <si>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</si>
  <si>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</si>
  <si>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</si>
  <si>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</si>
  <si>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</si>
  <si>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</si>
  <si>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</si>
  <si>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</si>
  <si>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</si>
  <si>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</si>
  <si>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</si>
  <si>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</si>
  <si>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</si>
  <si>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</si>
  <si>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</si>
  <si>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</si>
  <si>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</si>
  <si>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</si>
  <si>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</si>
  <si>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</si>
  <si>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</si>
  <si>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</si>
  <si>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</si>
  <si>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</si>
  <si>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</si>
  <si>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</si>
  <si>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</si>
  <si>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</si>
  <si>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</si>
  <si>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</si>
  <si>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</si>
  <si>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</si>
  <si>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</si>
  <si>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</si>
  <si>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</si>
  <si>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</si>
  <si>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</si>
  <si>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</si>
  <si>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</si>
  <si>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</si>
  <si>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</si>
  <si>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</si>
  <si>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</si>
  <si>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</si>
  <si>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</si>
  <si>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</si>
  <si>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</si>
  <si>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</si>
  <si>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</si>
  <si>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</si>
  <si>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</si>
  <si>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</si>
  <si>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</si>
  <si>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</si>
  <si>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</si>
  <si>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</si>
  <si>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</si>
  <si>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</si>
  <si>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</si>
  <si>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</si>
  <si>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</si>
  <si>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</si>
  <si>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</si>
  <si>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</si>
  <si>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</si>
  <si>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</si>
  <si>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</si>
  <si>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</si>
  <si>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</si>
  <si>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</si>
  <si>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</si>
  <si>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</si>
  <si>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</si>
  <si>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</si>
  <si>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</si>
  <si>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</si>
  <si>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</si>
  <si>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</si>
  <si>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</si>
  <si>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</si>
  <si>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</si>
  <si>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</si>
  <si>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</si>
  <si>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</si>
  <si>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</si>
  <si>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</si>
  <si>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</si>
  <si>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</si>
  <si>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</si>
  <si>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</si>
  <si>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</si>
  <si>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</si>
  <si>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</si>
  <si>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</si>
  <si>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</si>
  <si>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</si>
  <si>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</si>
  <si>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</si>
  <si>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</si>
  <si>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</si>
  <si>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</si>
  <si>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</si>
  <si>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</si>
  <si>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</si>
  <si>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</si>
  <si>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</si>
  <si>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</si>
  <si>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</si>
  <si>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</si>
  <si>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</si>
  <si>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</si>
  <si>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</si>
  <si>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</si>
  <si>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</si>
  <si>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</si>
  <si>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</si>
  <si>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</si>
  <si>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</si>
  <si>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</si>
  <si>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</si>
  <si>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</si>
  <si>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</si>
  <si>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</si>
  <si>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</si>
  <si>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</si>
  <si>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</si>
  <si>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</si>
  <si>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</si>
  <si>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</si>
  <si>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</si>
  <si>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</si>
  <si>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</si>
  <si>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</si>
  <si>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</si>
  <si>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</si>
  <si>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</si>
  <si>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</si>
  <si>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</si>
  <si>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</si>
  <si>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</si>
  <si>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</si>
  <si>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</si>
  <si>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</si>
  <si>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</si>
  <si>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</si>
  <si>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</si>
  <si>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</si>
  <si>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</si>
  <si>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</si>
  <si>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</si>
  <si>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</si>
  <si>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</si>
  <si>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</si>
  <si>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</si>
  <si>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</si>
  <si>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</si>
  <si>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</si>
  <si>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</si>
  <si>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</si>
  <si>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</si>
  <si>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</si>
  <si>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</si>
  <si>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</si>
  <si>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</si>
  <si>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</si>
  <si>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</si>
  <si>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</si>
  <si>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</si>
  <si>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</si>
  <si>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</si>
  <si>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</si>
  <si>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</si>
  <si>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</si>
  <si>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</si>
  <si>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</si>
  <si>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</si>
  <si>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</si>
  <si>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</si>
  <si>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</si>
  <si>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</si>
  <si>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</si>
  <si>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</si>
  <si>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</si>
  <si>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</si>
  <si>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</si>
  <si>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</si>
  <si>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</si>
  <si>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</si>
  <si>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</si>
  <si>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</si>
  <si>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</si>
  <si>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</si>
  <si>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</si>
  <si>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</si>
  <si>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</si>
  <si>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</si>
  <si>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</si>
  <si>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</si>
  <si>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</si>
  <si>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</si>
  <si>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</si>
  <si>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</si>
  <si>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</si>
  <si>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</si>
  <si>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</si>
  <si>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</si>
  <si>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</si>
  <si>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</si>
  <si>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</si>
  <si>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</si>
  <si>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</si>
  <si>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</si>
  <si>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</si>
  <si>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</si>
  <si>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</si>
  <si>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</si>
  <si>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</si>
  <si>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</si>
  <si>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</si>
  <si>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</si>
  <si>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</si>
  <si>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</si>
  <si>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</si>
  <si>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</si>
  <si>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</si>
  <si>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</si>
  <si>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</si>
  <si>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</si>
  <si>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</si>
  <si>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</si>
  <si>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</si>
  <si>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</si>
  <si>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</si>
  <si>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</si>
  <si>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</si>
  <si>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</si>
  <si>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</si>
  <si>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</si>
  <si>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</si>
  <si>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</si>
  <si>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</si>
  <si>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</si>
  <si>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</si>
  <si>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</si>
  <si>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</si>
  <si>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</si>
  <si>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</si>
  <si>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</si>
  <si>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</si>
  <si>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</si>
  <si>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</si>
  <si>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</si>
  <si>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</si>
  <si>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</si>
  <si>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</si>
  <si>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</si>
  <si>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</si>
  <si>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</si>
  <si>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</si>
  <si>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</si>
  <si>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</si>
  <si>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</si>
  <si>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</si>
  <si>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</si>
  <si>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</si>
  <si>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</si>
  <si>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</si>
  <si>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</si>
  <si>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</si>
  <si>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</si>
  <si>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</si>
  <si>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</si>
  <si>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</si>
  <si>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</si>
  <si>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</si>
  <si>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</si>
  <si>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</si>
  <si>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</si>
  <si>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</si>
  <si>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</si>
  <si>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</si>
  <si>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</si>
  <si>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</si>
  <si>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</si>
  <si>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</si>
  <si>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</si>
  <si>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</si>
  <si>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</si>
  <si>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</si>
  <si>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</si>
  <si>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</si>
  <si>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</si>
  <si>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</si>
  <si>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</si>
  <si>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</si>
  <si>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</si>
  <si>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</si>
  <si>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</si>
  <si>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</si>
  <si>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</si>
  <si>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</si>
  <si>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</si>
  <si>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</si>
  <si>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</si>
  <si>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</si>
  <si>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</si>
  <si>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</si>
  <si>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</si>
  <si>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</si>
  <si>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</si>
  <si>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</si>
  <si>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</si>
  <si>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</si>
  <si>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</si>
  <si>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</si>
  <si>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</si>
  <si>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</si>
  <si>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</si>
  <si>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</si>
  <si>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</si>
  <si>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</si>
  <si>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</si>
  <si>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</si>
  <si>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</si>
  <si>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</si>
  <si>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</si>
  <si>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</si>
  <si>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</si>
  <si>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</si>
  <si>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</si>
  <si>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</si>
  <si>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</si>
  <si>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</si>
  <si>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</si>
  <si>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</si>
  <si>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</si>
  <si>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</si>
  <si>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</si>
  <si>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</si>
  <si>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</si>
  <si>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</si>
  <si>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</si>
  <si>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</si>
  <si>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</si>
  <si>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</si>
  <si>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</si>
  <si>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</si>
  <si>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</si>
  <si>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</si>
  <si>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</si>
  <si>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</si>
  <si>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</si>
  <si>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</si>
  <si>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</si>
  <si>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</si>
  <si>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</si>
  <si>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</si>
  <si>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</si>
  <si>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</si>
  <si>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</si>
  <si>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</si>
  <si>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</si>
  <si>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</si>
  <si>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</si>
  <si>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</si>
  <si>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</si>
  <si>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</si>
  <si>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</si>
  <si>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</si>
  <si>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</si>
  <si>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</si>
  <si>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</si>
  <si>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</si>
  <si>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</si>
  <si>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</si>
  <si>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</si>
  <si>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</si>
  <si>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</si>
  <si>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</si>
  <si>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</si>
  <si>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</si>
  <si>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</si>
  <si>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</si>
  <si>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</si>
  <si>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</si>
  <si>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</si>
  <si>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</si>
  <si>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</si>
  <si>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</si>
  <si>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</si>
  <si>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</si>
  <si>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</si>
  <si>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</si>
  <si>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</si>
  <si>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</si>
  <si>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</si>
  <si>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</si>
  <si>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</si>
  <si>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</si>
  <si>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</si>
  <si>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</si>
  <si>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</si>
  <si>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</si>
  <si>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</si>
  <si>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</si>
  <si>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</si>
  <si>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</si>
  <si>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</si>
  <si>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</si>
  <si>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</si>
  <si>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</si>
  <si>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</si>
  <si>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</si>
  <si>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</si>
  <si>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</si>
  <si>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</si>
  <si>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</si>
  <si>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</si>
  <si>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</si>
  <si>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</si>
  <si>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</si>
  <si>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</si>
  <si>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</si>
  <si>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</si>
  <si>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</si>
  <si>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</si>
  <si>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</si>
  <si>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</si>
  <si>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</si>
  <si>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</si>
  <si>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</si>
  <si>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</si>
  <si>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</si>
  <si>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</si>
  <si>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</si>
  <si>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</si>
  <si>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</si>
  <si>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</si>
  <si>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</si>
  <si>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</si>
  <si>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</si>
  <si>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</si>
  <si>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</si>
  <si>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</si>
  <si>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</si>
  <si>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</si>
  <si>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</si>
  <si>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</si>
  <si>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</si>
  <si>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</si>
  <si>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</si>
  <si>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</si>
  <si>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</si>
  <si>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</si>
  <si>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</si>
  <si>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</si>
  <si>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</si>
  <si>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</si>
  <si>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</si>
  <si>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</si>
  <si>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</si>
  <si>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</si>
  <si>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</si>
  <si>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</si>
  <si>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</si>
  <si>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</si>
  <si>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</si>
  <si>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</si>
  <si>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</si>
  <si>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</si>
  <si>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</si>
  <si>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</si>
  <si>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</si>
  <si>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</si>
  <si>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</si>
  <si>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</si>
  <si>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</si>
  <si>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</si>
  <si>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</si>
  <si>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</si>
  <si>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</si>
  <si>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</si>
  <si>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</si>
  <si>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</si>
  <si>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</si>
  <si>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</si>
  <si>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</si>
  <si>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</si>
  <si>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</si>
  <si>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</si>
  <si>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</si>
  <si>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</si>
  <si>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</si>
  <si>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</si>
  <si>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</si>
  <si>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</si>
  <si>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</si>
  <si>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</si>
  <si>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</si>
  <si>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</si>
  <si>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</si>
  <si>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</si>
  <si>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</si>
  <si>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</si>
  <si>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</si>
  <si>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</si>
  <si>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</si>
  <si>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</si>
  <si>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</si>
  <si>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</si>
  <si>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</si>
  <si>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</si>
  <si>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</si>
  <si>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</si>
  <si>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</si>
  <si>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</si>
  <si>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</si>
  <si>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</si>
  <si>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</si>
  <si>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</si>
  <si>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</si>
  <si>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</si>
  <si>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</si>
  <si>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</si>
  <si>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</si>
  <si>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</si>
  <si>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</si>
  <si>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</si>
  <si>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</si>
  <si>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</si>
  <si>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</si>
  <si>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</si>
  <si>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</si>
  <si>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</si>
  <si>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</si>
  <si>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</si>
  <si>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</si>
  <si>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</si>
  <si>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</si>
  <si>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</si>
  <si>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</si>
  <si>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</si>
  <si>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</si>
  <si>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</si>
  <si>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</si>
  <si>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</si>
  <si>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</si>
  <si>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</si>
  <si>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</si>
  <si>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</si>
  <si>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</si>
  <si>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</si>
  <si>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</si>
  <si>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</si>
  <si>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</si>
  <si>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</si>
  <si>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</si>
  <si>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</si>
  <si>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</si>
  <si>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</si>
  <si>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</si>
  <si>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</si>
  <si>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</si>
  <si>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</si>
  <si>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</si>
  <si>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</si>
  <si>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</si>
  <si>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</si>
  <si>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</si>
  <si>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</si>
  <si>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</si>
  <si>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</si>
  <si>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</si>
  <si>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</si>
  <si>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</si>
  <si>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</si>
  <si>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</si>
  <si>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</si>
  <si>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</si>
  <si>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</si>
  <si>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</si>
  <si>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</si>
  <si>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</si>
  <si>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</si>
  <si>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</si>
  <si>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</si>
  <si>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</si>
  <si>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</si>
  <si>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</si>
  <si>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</si>
  <si>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</si>
  <si>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</si>
  <si>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</si>
  <si>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</si>
  <si>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</si>
  <si>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</si>
  <si>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</si>
  <si>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</si>
  <si>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</si>
  <si>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</si>
  <si>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</si>
  <si>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</si>
  <si>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</si>
  <si>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</si>
  <si>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</si>
  <si>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</si>
  <si>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</si>
  <si>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</si>
  <si>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</si>
  <si>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</si>
  <si>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</si>
  <si>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</si>
  <si>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</si>
  <si>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</si>
  <si>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</si>
  <si>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</si>
  <si>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</si>
  <si>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</si>
  <si>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</si>
  <si>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</si>
  <si>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</si>
  <si>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</si>
  <si>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</si>
  <si>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</si>
  <si>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</si>
  <si>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</si>
  <si>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</si>
  <si>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</si>
  <si>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</si>
  <si>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</si>
  <si>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</si>
  <si>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</si>
  <si>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</si>
  <si>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</si>
  <si>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</si>
  <si>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</si>
  <si>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</si>
  <si>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</si>
  <si>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</si>
  <si>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</si>
  <si>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</si>
  <si>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</si>
  <si>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</si>
  <si>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</si>
  <si>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</si>
  <si>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</si>
  <si>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</si>
  <si>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</si>
  <si>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</si>
  <si>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</si>
  <si>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</si>
  <si>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</si>
  <si>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</si>
  <si>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</si>
  <si>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</si>
  <si>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</si>
  <si>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</si>
  <si>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</si>
  <si>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</si>
  <si>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</si>
  <si>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</si>
  <si>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</si>
  <si>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</si>
  <si>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</si>
  <si>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</si>
  <si>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</si>
  <si>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</si>
  <si>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</si>
  <si>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</si>
  <si>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</si>
  <si>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</si>
  <si>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</si>
  <si>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</si>
  <si>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</si>
  <si>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</si>
  <si>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</si>
  <si>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</si>
  <si>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</si>
  <si>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</si>
  <si>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</si>
  <si>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</si>
  <si>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</si>
  <si>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</si>
  <si>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</si>
  <si>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</si>
  <si>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</si>
  <si>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</si>
  <si>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</si>
  <si>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</si>
  <si>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</si>
  <si>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</si>
  <si>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</si>
  <si>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</si>
  <si>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</si>
  <si>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</si>
  <si>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</si>
  <si>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</si>
  <si>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</si>
  <si>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</si>
  <si>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</si>
  <si>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</si>
  <si>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</si>
  <si>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</si>
  <si>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</si>
  <si>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</si>
  <si>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</si>
  <si>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</si>
  <si>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</si>
  <si>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</si>
  <si>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</si>
  <si>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</si>
  <si>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</si>
  <si>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</si>
  <si>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</si>
  <si>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</si>
  <si>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</si>
  <si>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</si>
  <si>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</si>
  <si>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</si>
  <si>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</si>
  <si>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</si>
  <si>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</si>
  <si>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</si>
  <si>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</si>
  <si>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</si>
  <si>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</si>
  <si>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</si>
  <si>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</si>
  <si>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</si>
  <si>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</si>
  <si>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</si>
  <si>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</si>
  <si>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</si>
  <si>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</si>
  <si>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</si>
  <si>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</si>
  <si>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</si>
  <si>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</si>
  <si>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</si>
  <si>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</si>
  <si>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</si>
  <si>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</si>
  <si>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</si>
  <si>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</si>
  <si>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</si>
  <si>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</si>
  <si>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</si>
  <si>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</si>
  <si>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</si>
  <si>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</si>
  <si>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</si>
  <si>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</si>
  <si>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</si>
  <si>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</si>
  <si>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</si>
  <si>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</si>
  <si>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</si>
  <si>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</si>
  <si>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</si>
  <si>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</si>
  <si>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</si>
  <si>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</si>
  <si>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</si>
  <si>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</si>
  <si>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</si>
  <si>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</si>
  <si>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</si>
  <si>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</si>
  <si>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</si>
  <si>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</si>
  <si>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</si>
  <si>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</si>
  <si>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</si>
  <si>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</si>
  <si>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</si>
  <si>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</si>
  <si>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</si>
  <si>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</si>
  <si>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</si>
  <si>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</si>
  <si>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</si>
  <si>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</si>
  <si>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</si>
  <si>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</si>
  <si>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</si>
  <si>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</si>
  <si>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</si>
  <si>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</si>
  <si>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</si>
  <si>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</si>
  <si>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</si>
  <si>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</si>
  <si>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</si>
  <si>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</si>
  <si>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</si>
  <si>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</si>
  <si>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</si>
  <si>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</si>
  <si>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</si>
  <si>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</si>
  <si>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</si>
  <si>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</si>
  <si>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</si>
  <si>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</si>
  <si>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</si>
  <si>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</si>
  <si>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</si>
  <si>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</si>
  <si>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</si>
  <si>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</si>
  <si>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</si>
  <si>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</si>
  <si>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</si>
  <si>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</si>
  <si>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</si>
  <si>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</si>
  <si>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</si>
  <si>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</si>
  <si>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</si>
  <si>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</si>
  <si>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</si>
  <si>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</si>
  <si>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</si>
  <si>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</si>
  <si>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</si>
  <si>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</si>
  <si>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</si>
  <si>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</si>
  <si>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</si>
  <si>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</si>
  <si>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</si>
  <si>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</si>
  <si>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</si>
  <si>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</si>
  <si>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</si>
  <si>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</si>
  <si>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</si>
  <si>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</si>
  <si>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</si>
  <si>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</si>
  <si>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</si>
  <si>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</si>
  <si>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</si>
  <si>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</si>
  <si>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</si>
  <si>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</si>
  <si>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</si>
  <si>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</si>
  <si>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</si>
  <si>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</si>
  <si>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</si>
  <si>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</si>
  <si>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</si>
  <si>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</si>
  <si>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</si>
  <si>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</si>
  <si>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</si>
  <si>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</si>
  <si>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</si>
  <si>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</si>
  <si>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</si>
  <si>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</si>
  <si>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</si>
  <si>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</si>
  <si>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</si>
  <si>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</si>
  <si>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</si>
  <si>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</si>
  <si>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</si>
  <si>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</si>
  <si>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</si>
  <si>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</si>
  <si>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</si>
  <si>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</si>
  <si>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</si>
  <si>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</si>
  <si>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</si>
  <si>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</si>
  <si>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</si>
  <si>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</si>
  <si>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</si>
  <si>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</si>
  <si>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</si>
  <si>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</si>
  <si>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</si>
  <si>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</si>
  <si>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</si>
  <si>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</si>
  <si>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</si>
  <si>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</si>
  <si>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</si>
  <si>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</si>
  <si>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</si>
  <si>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</si>
  <si>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</si>
  <si>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</si>
  <si>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</si>
  <si>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</si>
  <si>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</si>
  <si>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</si>
  <si>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</si>
  <si>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</si>
  <si>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</si>
  <si>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</si>
  <si>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</si>
  <si>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</si>
  <si>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</si>
  <si>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</si>
  <si>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</si>
  <si>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</si>
  <si>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</si>
  <si>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</si>
  <si>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</si>
  <si>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</si>
  <si>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</si>
  <si>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</si>
  <si>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</si>
  <si>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</si>
  <si>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</si>
  <si>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</si>
  <si>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</si>
  <si>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</si>
  <si>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</si>
  <si>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</si>
  <si>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</si>
  <si>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</si>
  <si>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</si>
  <si>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</si>
  <si>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</si>
  <si>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</si>
  <si>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</si>
  <si>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</si>
  <si>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</si>
  <si>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</si>
  <si>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</si>
  <si>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</si>
  <si>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</si>
  <si>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</si>
  <si>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</si>
  <si>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</si>
  <si>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</si>
  <si>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</si>
  <si>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</si>
  <si>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</si>
  <si>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</si>
  <si>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</si>
  <si>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</si>
  <si>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</si>
  <si>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</si>
  <si>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</si>
  <si>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</si>
  <si>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</si>
  <si>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</si>
  <si>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</si>
  <si>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</si>
  <si>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</si>
  <si>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</si>
  <si>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</si>
  <si>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</si>
  <si>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</si>
  <si>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</si>
  <si>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</si>
  <si>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</si>
  <si>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</si>
  <si>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</si>
  <si>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</si>
  <si>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</si>
  <si>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</si>
  <si>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</si>
  <si>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</si>
  <si>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</si>
  <si>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</si>
  <si>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</si>
  <si>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</si>
  <si>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</si>
  <si>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</si>
  <si>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</si>
  <si>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</si>
  <si>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</si>
  <si>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</si>
  <si>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</si>
  <si>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</si>
  <si>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</si>
  <si>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</si>
  <si>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</si>
  <si>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</si>
  <si>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</si>
  <si>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</si>
  <si>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</si>
  <si>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</si>
  <si>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</si>
  <si>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</si>
  <si>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</si>
  <si>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</si>
  <si>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</si>
  <si>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</si>
  <si>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</si>
  <si>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</si>
  <si>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</si>
  <si>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</si>
  <si>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</si>
  <si>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</si>
  <si>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</si>
  <si>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</si>
  <si>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</si>
  <si>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</si>
  <si>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</si>
  <si>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</si>
  <si>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</si>
  <si>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</si>
  <si>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</si>
  <si>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</si>
  <si>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</si>
  <si>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</si>
  <si>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</si>
  <si>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</si>
  <si>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</si>
  <si>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</si>
  <si>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</si>
  <si>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</si>
  <si>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</si>
  <si>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</si>
  <si>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</si>
  <si>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</si>
  <si>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</si>
  <si>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</si>
  <si>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</si>
  <si>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</si>
  <si>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</si>
  <si>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</si>
  <si>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</si>
  <si>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</si>
  <si>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</si>
  <si>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</si>
  <si>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</si>
  <si>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</si>
  <si>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</si>
  <si>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</si>
  <si>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</si>
  <si>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</si>
  <si>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</si>
  <si>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</si>
  <si>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</si>
  <si>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</si>
  <si>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</si>
  <si>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</si>
  <si>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</si>
  <si>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</si>
  <si>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</si>
  <si>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</si>
  <si>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</si>
  <si>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</si>
  <si>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</si>
  <si>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</si>
  <si>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</si>
  <si>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</si>
  <si>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</si>
  <si>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</si>
  <si>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</si>
  <si>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</si>
  <si>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</si>
  <si>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</si>
  <si>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</si>
  <si>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</si>
  <si>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</si>
  <si>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</si>
  <si>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</si>
  <si>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</si>
  <si>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</si>
  <si>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</si>
  <si>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</si>
  <si>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</si>
  <si>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</si>
  <si>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</si>
  <si>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</si>
  <si>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</si>
  <si>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</si>
  <si>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</si>
  <si>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</si>
  <si>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</si>
  <si>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</si>
  <si>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</si>
  <si>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</si>
  <si>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</si>
  <si>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</si>
  <si>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</si>
  <si>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</si>
  <si>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</si>
  <si>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</si>
  <si>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</si>
  <si>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</si>
  <si>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</si>
  <si>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</si>
  <si>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</si>
  <si>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</si>
  <si>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</si>
  <si>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</si>
  <si>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</si>
  <si>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</si>
  <si>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</si>
  <si>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</si>
  <si>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</si>
  <si>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</si>
  <si>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</si>
  <si>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</si>
  <si>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</si>
  <si>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</si>
  <si>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</si>
  <si>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</si>
  <si>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</si>
  <si>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</si>
  <si>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</si>
  <si>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</si>
  <si>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</si>
  <si>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</si>
  <si>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</si>
  <si>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</si>
  <si>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</si>
  <si>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</si>
  <si>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</si>
  <si>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</si>
  <si>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</si>
  <si>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</si>
  <si>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</si>
  <si>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</si>
  <si>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</si>
  <si>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</si>
  <si>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</si>
  <si>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</si>
  <si>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</si>
  <si>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</si>
  <si>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</si>
  <si>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</si>
  <si>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</si>
  <si>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</si>
  <si>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</si>
  <si>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</si>
  <si>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</si>
  <si>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</si>
  <si>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</si>
  <si>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</si>
  <si>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</si>
  <si>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</si>
  <si>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</si>
  <si>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</si>
  <si>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</si>
  <si>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</si>
  <si>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</si>
  <si>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</si>
  <si>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</si>
  <si>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</si>
  <si>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</si>
  <si>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</si>
  <si>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</si>
  <si>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</si>
  <si>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</si>
  <si>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</si>
  <si>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</si>
  <si>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</si>
  <si>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</si>
  <si>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</si>
  <si>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</si>
  <si>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</si>
  <si>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</si>
  <si>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</si>
  <si>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</si>
  <si>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</si>
  <si>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</si>
  <si>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</si>
  <si>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</si>
  <si>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</si>
  <si>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</si>
  <si>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</si>
  <si>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</si>
  <si>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</si>
  <si>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</si>
  <si>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</si>
  <si>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</si>
  <si>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</si>
  <si>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</si>
  <si>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</si>
  <si>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</si>
  <si>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</si>
  <si>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</si>
  <si>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</si>
  <si>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</si>
  <si>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</si>
  <si>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</si>
  <si>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</si>
  <si>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</si>
  <si>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</si>
  <si>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</si>
  <si>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</si>
  <si>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</si>
  <si>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</si>
  <si>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</si>
  <si>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</si>
  <si>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</si>
  <si>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</si>
  <si>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</si>
  <si>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</si>
  <si>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</si>
  <si>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</si>
  <si>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</si>
  <si>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</si>
  <si>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</si>
  <si>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</si>
  <si>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</si>
  <si>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</si>
  <si>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</si>
  <si>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</si>
  <si>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</si>
  <si>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</si>
  <si>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</si>
  <si>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</si>
  <si>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</si>
  <si>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</si>
  <si>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</si>
  <si>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</si>
  <si>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</si>
  <si>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</si>
  <si>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</si>
  <si>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</si>
  <si>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</si>
  <si>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</si>
  <si>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</si>
  <si>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</si>
  <si>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</si>
  <si>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</si>
  <si>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</si>
  <si>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</si>
  <si>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</si>
  <si>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</si>
  <si>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</si>
  <si>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</si>
  <si>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</si>
  <si>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</si>
  <si>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</si>
  <si>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</si>
  <si>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</si>
  <si>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</si>
  <si>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</si>
  <si>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</si>
  <si>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</si>
  <si>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</si>
  <si>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</si>
  <si>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</si>
  <si>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</si>
  <si>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</si>
  <si>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</si>
  <si>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</si>
  <si>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</si>
  <si>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</si>
  <si>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</si>
  <si>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</si>
  <si>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</si>
  <si>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</si>
  <si>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</si>
  <si>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</si>
  <si>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</si>
  <si>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</si>
  <si>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</si>
  <si>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</si>
  <si>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</si>
  <si>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</si>
  <si>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</si>
  <si>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</si>
  <si>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</si>
  <si>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</si>
  <si>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</si>
  <si>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</si>
  <si>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</si>
  <si>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</si>
  <si>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</si>
  <si>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</si>
  <si>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</si>
  <si>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</si>
  <si>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</si>
  <si>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</si>
  <si>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</si>
  <si>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</si>
  <si>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</si>
  <si>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</si>
  <si>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</si>
  <si>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</si>
  <si>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</si>
  <si>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</si>
  <si>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</si>
  <si>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</si>
  <si>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</si>
  <si>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</si>
  <si>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</si>
  <si>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</si>
  <si>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</si>
  <si>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</si>
  <si>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</si>
  <si>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</si>
  <si>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</si>
  <si>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</si>
  <si>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</si>
  <si>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</si>
  <si>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</si>
  <si>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</si>
  <si>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</si>
  <si>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</si>
  <si>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</si>
  <si>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</si>
  <si>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</si>
  <si>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</si>
  <si>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</si>
  <si>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</si>
  <si>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</si>
  <si>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</si>
  <si>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</si>
  <si>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</si>
  <si>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</si>
  <si>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</si>
  <si>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</si>
  <si>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</si>
  <si>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</si>
  <si>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</si>
  <si>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</si>
  <si>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</si>
  <si>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</si>
  <si>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</si>
  <si>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</si>
  <si>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</si>
  <si>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</si>
  <si>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</si>
  <si>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</si>
  <si>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</si>
  <si>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</si>
  <si>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</si>
  <si>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</si>
  <si>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</si>
  <si>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</si>
  <si>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</si>
  <si>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</si>
  <si>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</si>
  <si>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</si>
  <si>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</si>
  <si>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</si>
  <si>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</si>
  <si>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</si>
  <si>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</si>
  <si>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</si>
  <si>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</si>
  <si>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</si>
  <si>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</si>
  <si>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</si>
  <si>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</si>
  <si>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</si>
  <si>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</si>
  <si>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</si>
  <si>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</si>
  <si>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</si>
  <si>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</si>
  <si>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</si>
  <si>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</si>
  <si>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</si>
  <si>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</si>
  <si>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</si>
  <si>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</si>
  <si>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</si>
  <si>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</si>
  <si>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</si>
  <si>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</si>
  <si>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</si>
  <si>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</si>
  <si>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</si>
  <si>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</si>
  <si>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</si>
  <si>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</si>
  <si>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</si>
  <si>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</si>
  <si>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</si>
  <si>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</si>
  <si>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</si>
  <si>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</si>
  <si>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</si>
  <si>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</si>
  <si>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</si>
  <si>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</si>
  <si>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</si>
  <si>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</si>
  <si>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</si>
  <si>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</si>
  <si>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</si>
  <si>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</si>
  <si>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</si>
  <si>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</si>
  <si>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</si>
  <si>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</si>
  <si>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</si>
  <si>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</si>
  <si>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</si>
  <si>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</si>
  <si>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</si>
  <si>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</si>
  <si>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</si>
  <si>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</si>
  <si>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</si>
  <si>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</si>
  <si>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</si>
  <si>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</si>
  <si>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</si>
  <si>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</si>
  <si>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</si>
  <si>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</si>
  <si>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</si>
  <si>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</si>
  <si>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</si>
  <si>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</si>
  <si>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</si>
  <si>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</si>
  <si>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</si>
  <si>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</si>
  <si>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</si>
  <si>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</si>
  <si>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</si>
  <si>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</si>
  <si>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</si>
  <si>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</si>
  <si>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</si>
  <si>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</si>
  <si>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</si>
  <si>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</si>
  <si>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</si>
  <si>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</si>
  <si>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</si>
  <si>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</si>
  <si>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</si>
  <si>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</si>
  <si>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</si>
  <si>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</si>
  <si>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</si>
  <si>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</si>
  <si>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</si>
  <si>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</si>
  <si>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</si>
  <si>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</si>
  <si>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</si>
  <si>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</si>
  <si>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</si>
  <si>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</si>
  <si>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</si>
  <si>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</si>
  <si>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</si>
  <si>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</si>
  <si>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</si>
  <si>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</si>
  <si>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</si>
  <si>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</si>
  <si>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</si>
  <si>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</si>
  <si>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</si>
  <si>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</si>
  <si>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</si>
  <si>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</si>
  <si>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</si>
  <si>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</si>
  <si>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</si>
  <si>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</si>
  <si>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</si>
  <si>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</si>
  <si>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</si>
  <si>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</si>
  <si>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</si>
  <si>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</si>
  <si>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</si>
  <si>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</si>
  <si>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</si>
  <si>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</si>
  <si>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</si>
  <si>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</si>
  <si>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</si>
  <si>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</si>
  <si>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</si>
  <si>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</si>
  <si>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</si>
  <si>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</si>
  <si>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</si>
  <si>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</si>
  <si>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</si>
  <si>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</si>
  <si>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</si>
  <si>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</si>
  <si>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</si>
  <si>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</si>
  <si>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</si>
  <si>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</si>
  <si>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</si>
  <si>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</si>
  <si>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</si>
  <si>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</si>
  <si>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</si>
  <si>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</si>
  <si>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</si>
  <si>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</si>
  <si>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</si>
  <si>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</si>
  <si>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</si>
  <si>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</si>
  <si>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</si>
  <si>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</si>
  <si>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</si>
  <si>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</si>
  <si>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</si>
  <si>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</si>
  <si>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</si>
  <si>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</si>
  <si>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</si>
  <si>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</si>
  <si>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</si>
  <si>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</si>
  <si>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</si>
  <si>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</si>
  <si>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</si>
  <si>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</si>
  <si>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</si>
  <si>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</si>
  <si>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</si>
  <si>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</si>
  <si>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</si>
  <si>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</si>
  <si>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</si>
  <si>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</si>
  <si>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</si>
  <si>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</si>
  <si>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</si>
  <si>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</si>
  <si>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</si>
  <si>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</si>
  <si>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</si>
  <si>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</si>
  <si>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</si>
  <si>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</si>
  <si>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</si>
  <si>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</si>
  <si>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</si>
  <si>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</si>
  <si>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</si>
  <si>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</si>
  <si>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</si>
  <si>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</si>
  <si>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</si>
  <si>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</si>
  <si>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</si>
  <si>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</si>
  <si>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</si>
  <si>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</si>
  <si>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</si>
  <si>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</si>
  <si>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</si>
  <si>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</si>
  <si>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</si>
  <si>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</si>
  <si>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</si>
  <si>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</si>
  <si>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</si>
  <si>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</si>
  <si>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</si>
  <si>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</si>
  <si>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</si>
  <si>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</si>
  <si>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</si>
  <si>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</si>
  <si>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</si>
  <si>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</si>
  <si>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</si>
  <si>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</si>
  <si>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</si>
  <si>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</si>
  <si>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</si>
  <si>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</si>
  <si>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</si>
  <si>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</si>
  <si>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</si>
  <si>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</si>
  <si>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</si>
  <si>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</si>
  <si>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</si>
  <si>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</si>
  <si>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</si>
  <si>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</si>
  <si>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</si>
  <si>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</si>
  <si>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</si>
  <si>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</si>
  <si>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</si>
  <si>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</si>
  <si>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</si>
  <si>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</si>
  <si>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</si>
  <si>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</si>
  <si>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</si>
  <si>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</si>
  <si>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</si>
  <si>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</si>
  <si>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</si>
  <si>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</si>
  <si>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</si>
  <si>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</si>
  <si>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</si>
  <si>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</si>
  <si>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</si>
  <si>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</si>
  <si>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</si>
  <si>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</si>
  <si>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</si>
  <si>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</si>
  <si>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</si>
  <si>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</si>
  <si>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</si>
  <si>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</si>
  <si>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</si>
  <si>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</si>
  <si>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</si>
  <si>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</si>
  <si>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</si>
  <si>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</si>
  <si>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</si>
  <si>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</si>
  <si>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</si>
  <si>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</si>
  <si>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</si>
  <si>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</si>
  <si>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</si>
  <si>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</si>
  <si>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</si>
  <si>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</si>
  <si>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</si>
  <si>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</si>
  <si>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</si>
  <si>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</si>
  <si>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</si>
  <si>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</si>
  <si>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</si>
  <si>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</si>
  <si>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</si>
  <si>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</si>
  <si>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</si>
  <si>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</si>
  <si>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</si>
  <si>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</si>
  <si>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</si>
  <si>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</si>
  <si>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</si>
  <si>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</si>
  <si>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</si>
  <si>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</si>
  <si>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</si>
  <si>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</si>
  <si>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</si>
  <si>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</si>
  <si>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</si>
  <si>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</si>
  <si>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</si>
  <si>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</si>
  <si>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</si>
  <si>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</si>
  <si>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</si>
  <si>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</si>
  <si>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</si>
  <si>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</si>
  <si>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</si>
  <si>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</si>
  <si>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</si>
  <si>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</si>
  <si>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</si>
  <si>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</si>
  <si>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</si>
  <si>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</si>
  <si>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</si>
  <si>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</si>
  <si>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</si>
  <si>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</si>
  <si>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</si>
  <si>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</si>
  <si>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</si>
  <si>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</si>
  <si>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</si>
  <si>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</si>
  <si>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</si>
  <si>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</si>
  <si>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</si>
  <si>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</si>
  <si>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</si>
  <si>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</si>
  <si>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</si>
  <si>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</si>
  <si>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</si>
  <si>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</si>
  <si>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</si>
  <si>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</si>
  <si>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</si>
  <si>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</si>
  <si>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</si>
  <si>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</si>
  <si>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</si>
  <si>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</si>
  <si>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</si>
  <si>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</si>
  <si>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</si>
  <si>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</si>
  <si>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</si>
  <si>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</si>
  <si>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</si>
  <si>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</si>
  <si>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</si>
  <si>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</si>
  <si>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</si>
  <si>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</si>
  <si>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</si>
  <si>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</si>
  <si>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</si>
  <si>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</si>
  <si>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</si>
  <si>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</si>
  <si>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</si>
  <si>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</si>
  <si>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</si>
  <si>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</si>
  <si>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</si>
  <si>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</si>
  <si>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</si>
  <si>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</si>
  <si>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</si>
  <si>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</si>
  <si>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</si>
  <si>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</si>
  <si>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</si>
  <si>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</si>
  <si>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</si>
  <si>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</si>
  <si>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</si>
  <si>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</si>
  <si>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</si>
  <si>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</si>
  <si>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</si>
  <si>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</si>
  <si>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</si>
  <si>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</si>
  <si>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</si>
  <si>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</si>
  <si>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</si>
  <si>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</si>
  <si>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</si>
  <si>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</si>
  <si>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</si>
  <si>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</si>
  <si>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</si>
  <si>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</si>
  <si>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</si>
  <si>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</si>
  <si>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</si>
  <si>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</si>
  <si>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</si>
  <si>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</si>
  <si>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</si>
  <si>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</si>
  <si>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</si>
  <si>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</si>
  <si>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</si>
  <si>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</si>
  <si>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</si>
  <si>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</si>
  <si>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</si>
  <si>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</si>
  <si>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</si>
  <si>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</si>
  <si>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</si>
  <si>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</si>
  <si>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</si>
  <si>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</si>
  <si>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</si>
  <si>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</si>
  <si>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</si>
  <si>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</si>
  <si>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</si>
  <si>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</si>
  <si>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</si>
  <si>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</si>
  <si>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</si>
  <si>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</si>
  <si>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</si>
  <si>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</si>
  <si>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</si>
  <si>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</si>
  <si>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</si>
  <si>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</si>
  <si>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</si>
  <si>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</si>
  <si>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</si>
  <si>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</si>
  <si>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</si>
  <si>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</si>
  <si>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</si>
  <si>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</si>
  <si>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</si>
  <si>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</si>
  <si>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</si>
  <si>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</si>
  <si>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</si>
  <si>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</si>
  <si>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</si>
  <si>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</si>
  <si>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</si>
  <si>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</si>
  <si>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</si>
  <si>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</si>
  <si>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</si>
  <si>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</si>
  <si>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</si>
  <si>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</si>
  <si>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</si>
  <si>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</si>
  <si>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</si>
  <si>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</si>
  <si>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</si>
  <si>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</si>
  <si>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</si>
  <si>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</si>
  <si>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</si>
  <si>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</si>
  <si>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</si>
  <si>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</si>
  <si>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</si>
  <si>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</si>
  <si>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</si>
  <si>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</si>
  <si>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</si>
  <si>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</si>
  <si>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</si>
  <si>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</si>
  <si>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</si>
  <si>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</si>
  <si>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</si>
  <si>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</si>
  <si>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</si>
  <si>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</si>
  <si>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</si>
  <si>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</si>
  <si>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</si>
  <si>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</si>
  <si>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</si>
  <si>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</si>
  <si>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</si>
  <si>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</si>
  <si>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</si>
  <si>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</si>
  <si>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</si>
  <si>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</si>
  <si>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</si>
  <si>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</si>
  <si>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</si>
  <si>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</si>
  <si>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</si>
  <si>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</si>
  <si>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</si>
  <si>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</si>
  <si>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</si>
  <si>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</si>
  <si>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</si>
  <si>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</si>
  <si>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</si>
  <si>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</si>
  <si>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</si>
  <si>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</si>
  <si>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</si>
  <si>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</si>
  <si>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</si>
  <si>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</si>
  <si>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</si>
  <si>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</si>
  <si>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</si>
  <si>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</si>
  <si>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</si>
  <si>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</si>
  <si>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</si>
  <si>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</si>
  <si>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</si>
  <si>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</si>
  <si>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</si>
  <si>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</si>
  <si>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</si>
  <si>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</si>
  <si>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</si>
  <si>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</si>
  <si>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</si>
  <si>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</si>
  <si>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</si>
  <si>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</si>
  <si>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</si>
  <si>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</si>
  <si>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</si>
  <si>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</si>
  <si>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</si>
  <si>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</si>
  <si>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</si>
  <si>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</si>
  <si>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</si>
  <si>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</si>
  <si>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</si>
  <si>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</si>
  <si>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</si>
  <si>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</si>
  <si>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</si>
  <si>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</si>
  <si>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</si>
  <si>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</si>
  <si>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</si>
  <si>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</si>
  <si>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</si>
  <si>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</si>
  <si>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</si>
  <si>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</si>
  <si>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</si>
  <si>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</si>
  <si>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</si>
  <si>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</si>
  <si>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</si>
  <si>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</si>
  <si>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</si>
  <si>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</si>
  <si>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</si>
  <si>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</si>
  <si>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</si>
  <si>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</si>
  <si>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</si>
  <si>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</si>
  <si>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</si>
  <si>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</si>
  <si>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</si>
  <si>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</si>
  <si>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</si>
  <si>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</si>
  <si>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</si>
  <si>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</si>
  <si>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</si>
  <si>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</si>
  <si>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</si>
  <si>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</si>
  <si>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</si>
  <si>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</si>
  <si>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</si>
  <si>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</si>
  <si>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</si>
  <si>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</si>
  <si>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</si>
  <si>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</si>
  <si>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</si>
  <si>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</si>
  <si>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</si>
  <si>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</si>
  <si>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</si>
  <si>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</si>
  <si>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</si>
  <si>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</si>
  <si>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</si>
  <si>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</si>
  <si>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</si>
  <si>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</si>
  <si>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</si>
  <si>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</si>
  <si>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</si>
  <si>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</si>
  <si>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</si>
  <si>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</si>
  <si>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</si>
  <si>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</si>
  <si>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</si>
  <si>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</si>
  <si>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</si>
  <si>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</si>
  <si>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</si>
  <si>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</si>
  <si>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</si>
  <si>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</si>
  <si>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</si>
  <si>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</si>
  <si>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</si>
  <si>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</si>
  <si>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</si>
  <si>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</si>
  <si>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</si>
  <si>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</si>
  <si>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</si>
  <si>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</si>
  <si>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</si>
  <si>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</si>
  <si>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</si>
  <si>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</si>
  <si>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</si>
  <si>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</si>
  <si>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</si>
  <si>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</si>
  <si>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</si>
  <si>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</si>
  <si>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</si>
  <si>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</si>
  <si>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</si>
  <si>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</si>
  <si>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</si>
  <si>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</si>
  <si>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</si>
  <si>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</si>
  <si>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</si>
  <si>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</si>
  <si>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</si>
  <si>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</si>
  <si>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</si>
  <si>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</si>
  <si>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</si>
  <si>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</si>
  <si>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</si>
  <si>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</si>
  <si>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</si>
  <si>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</si>
  <si>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</si>
  <si>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</si>
  <si>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</si>
  <si>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</si>
  <si>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</si>
  <si>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</si>
  <si>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</si>
  <si>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</si>
  <si>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</si>
  <si>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</si>
  <si>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</si>
  <si>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</si>
  <si>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</si>
  <si>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</si>
  <si>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</si>
  <si>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</si>
  <si>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</si>
  <si>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</si>
  <si>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</si>
  <si>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</si>
  <si>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</si>
  <si>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</si>
  <si>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</si>
  <si>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</si>
  <si>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</si>
  <si>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</si>
  <si>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</si>
  <si>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</si>
  <si>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</si>
  <si>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</si>
  <si>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</si>
  <si>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</si>
  <si>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</si>
  <si>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</si>
  <si>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</si>
  <si>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</si>
  <si>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</si>
  <si>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</si>
  <si>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</si>
  <si>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</si>
  <si>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</si>
  <si>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</si>
  <si>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</si>
  <si>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</si>
  <si>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</si>
  <si>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</si>
  <si>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</si>
  <si>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</si>
  <si>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</si>
  <si>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</si>
  <si>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</si>
  <si>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</si>
  <si>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</si>
  <si>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</si>
  <si>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</si>
  <si>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</si>
  <si>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</si>
  <si>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</si>
  <si>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</si>
  <si>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</si>
  <si>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</si>
  <si>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</si>
  <si>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</si>
  <si>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</si>
  <si>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</si>
  <si>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</si>
  <si>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</si>
  <si>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</si>
  <si>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</si>
  <si>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</si>
  <si>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</si>
  <si>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</si>
  <si>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</si>
  <si>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</si>
  <si>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</si>
  <si>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</si>
  <si>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</si>
  <si>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</si>
  <si>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</si>
  <si>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</si>
  <si>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</si>
  <si>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</si>
  <si>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</si>
  <si>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</si>
  <si>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</si>
  <si>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</si>
  <si>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</si>
  <si>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</si>
  <si>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</si>
  <si>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</si>
  <si>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</si>
  <si>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</si>
  <si>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</si>
  <si>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</si>
  <si>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</si>
  <si>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</si>
  <si>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</si>
  <si>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</si>
  <si>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</si>
  <si>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</si>
  <si>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</si>
  <si>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</si>
  <si>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</si>
  <si>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</si>
  <si>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</si>
  <si>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</si>
  <si>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</si>
  <si>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</si>
  <si>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</si>
  <si>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</si>
  <si>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</si>
  <si>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</si>
  <si>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</si>
  <si>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</si>
  <si>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</si>
  <si>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</si>
  <si>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</si>
  <si>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</si>
  <si>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</si>
  <si>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</si>
  <si>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</si>
  <si>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</si>
  <si>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</si>
  <si>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</si>
  <si>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</si>
  <si>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</si>
  <si>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</si>
  <si>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</si>
  <si>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</si>
  <si>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</si>
  <si>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</si>
  <si>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</si>
  <si>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</si>
  <si>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</si>
  <si>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</si>
  <si>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</si>
  <si>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</si>
  <si>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</si>
  <si>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</si>
  <si>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</si>
  <si>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</si>
  <si>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</si>
  <si>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</si>
  <si>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</si>
  <si>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</si>
  <si>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</si>
  <si>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</si>
  <si>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</si>
  <si>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</si>
  <si>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</si>
  <si>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</si>
  <si>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</si>
  <si>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</si>
  <si>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</si>
  <si>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</si>
  <si>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</si>
  <si>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</si>
  <si>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</si>
  <si>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</si>
  <si>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</si>
  <si>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</si>
  <si>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</si>
  <si>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</si>
  <si>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</si>
  <si>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</si>
  <si>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</si>
  <si>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</si>
  <si>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</si>
  <si>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</si>
  <si>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</si>
  <si>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</si>
  <si>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</si>
  <si>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</si>
  <si>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</si>
  <si>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</si>
  <si>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</si>
  <si>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</si>
  <si>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</si>
  <si>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</si>
  <si>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</si>
  <si>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</si>
  <si>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</si>
  <si>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</si>
  <si>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</si>
  <si>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</si>
  <si>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</si>
  <si>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</si>
  <si>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</si>
  <si>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</si>
  <si>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</si>
  <si>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</si>
  <si>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</si>
  <si>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</si>
  <si>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</si>
  <si>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</si>
  <si>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</si>
  <si>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</si>
  <si>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</si>
  <si>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</si>
  <si>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</si>
  <si>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</si>
  <si>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</si>
  <si>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</si>
  <si>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</si>
  <si>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</si>
  <si>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</si>
  <si>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</si>
  <si>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</si>
  <si>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</si>
  <si>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</si>
  <si>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</si>
  <si>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</si>
  <si>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</si>
  <si>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</si>
  <si>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</si>
  <si>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</si>
  <si>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</si>
  <si>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</si>
  <si>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</si>
  <si>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</si>
  <si>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</si>
  <si>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</si>
  <si>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</si>
  <si>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</si>
  <si>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</si>
  <si>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</si>
  <si>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</si>
  <si>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</si>
  <si>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</si>
  <si>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</si>
  <si>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</si>
  <si>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</si>
  <si>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</si>
  <si>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</si>
  <si>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</si>
  <si>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</si>
  <si>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</si>
  <si>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</si>
  <si>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</si>
  <si>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</si>
  <si>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</si>
  <si>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</si>
  <si>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</si>
  <si>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</si>
  <si>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</si>
  <si>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</si>
  <si>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</si>
  <si>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</si>
  <si>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</si>
  <si>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</si>
  <si>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</si>
  <si>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</si>
  <si>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</si>
  <si>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</si>
  <si>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</si>
  <si>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</si>
  <si>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</si>
  <si>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</si>
  <si>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</si>
  <si>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</si>
  <si>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</si>
  <si>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</si>
  <si>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</si>
  <si>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</si>
  <si>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</si>
  <si>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</si>
  <si>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</si>
  <si>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</si>
  <si>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</si>
  <si>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</si>
  <si>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</si>
  <si>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</si>
  <si>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</si>
  <si>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</si>
  <si>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</si>
  <si>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</si>
  <si>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</si>
  <si>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</si>
  <si>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</si>
  <si>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</si>
  <si>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</si>
  <si>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</si>
  <si>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</si>
  <si>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</si>
  <si>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</si>
  <si>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</si>
  <si>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</si>
  <si>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</si>
  <si>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</si>
  <si>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</si>
  <si>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</si>
  <si>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</si>
  <si>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</si>
  <si>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</si>
  <si>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</si>
  <si>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</si>
  <si>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</si>
  <si>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</si>
  <si>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</si>
  <si>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</si>
  <si>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</si>
  <si>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</si>
  <si>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</si>
  <si>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</si>
  <si>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</si>
  <si>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</si>
  <si>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</si>
  <si>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</si>
  <si>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</si>
  <si>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</si>
  <si>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</si>
  <si>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</si>
  <si>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</si>
  <si>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</si>
  <si>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</si>
  <si>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</si>
  <si>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</si>
  <si>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</si>
  <si>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</si>
  <si>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</si>
  <si>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</si>
  <si>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</si>
  <si>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</si>
  <si>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</si>
  <si>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</si>
  <si>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</si>
  <si>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</si>
  <si>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</si>
  <si>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</si>
  <si>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</si>
  <si>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</si>
  <si>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</si>
  <si>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</si>
  <si>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</si>
  <si>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</si>
  <si>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</si>
  <si>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</si>
  <si>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</si>
  <si>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</si>
  <si>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</si>
  <si>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</si>
  <si>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</si>
  <si>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</si>
  <si>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</si>
  <si>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</si>
  <si>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</si>
  <si>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</si>
  <si>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</si>
  <si>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</si>
  <si>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</si>
  <si>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</si>
  <si>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</si>
  <si>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</si>
  <si>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</si>
  <si>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</si>
  <si>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</si>
  <si>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</si>
  <si>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</si>
  <si>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</si>
  <si>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</si>
  <si>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</si>
  <si>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</si>
  <si>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</si>
  <si>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</si>
  <si>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</si>
  <si>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</si>
  <si>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</si>
  <si>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</si>
  <si>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</si>
  <si>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</si>
  <si>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</si>
  <si>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</si>
  <si>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</si>
  <si>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</si>
  <si>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</si>
  <si>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</si>
  <si>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</si>
  <si>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</si>
  <si>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</si>
  <si>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</si>
  <si>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</si>
  <si>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</si>
  <si>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</si>
  <si>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</si>
  <si>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</si>
  <si>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</si>
  <si>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</si>
  <si>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</si>
  <si>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</si>
  <si>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</si>
  <si>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</si>
  <si>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</si>
  <si>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</si>
  <si>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</si>
  <si>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</si>
  <si>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</si>
  <si>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</si>
  <si>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</si>
  <si>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</si>
  <si>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</si>
  <si>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</si>
  <si>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</si>
  <si>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</si>
  <si>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</si>
  <si>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</si>
  <si>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</si>
  <si>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</si>
  <si>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</si>
  <si>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</si>
  <si>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</si>
  <si>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</si>
  <si>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</si>
  <si>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</si>
  <si>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</si>
  <si>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</si>
  <si>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</si>
  <si>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</si>
  <si>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</si>
  <si>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</si>
  <si>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</si>
  <si>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</si>
  <si>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</si>
  <si>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</si>
  <si>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</si>
  <si>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</si>
  <si>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</si>
  <si>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</si>
  <si>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</si>
  <si>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</si>
  <si>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</si>
  <si>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</si>
  <si>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</si>
  <si>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</si>
  <si>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</si>
  <si>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</si>
  <si>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</si>
  <si>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</si>
  <si>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</si>
  <si>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</si>
  <si>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</si>
  <si>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</si>
  <si>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</si>
  <si>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</si>
  <si>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</si>
  <si>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</si>
  <si>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</si>
  <si>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</si>
  <si>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</si>
  <si>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</si>
  <si>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</si>
  <si>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</si>
  <si>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</si>
  <si>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</si>
  <si>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</si>
  <si>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</si>
  <si>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</si>
  <si>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</si>
  <si>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</si>
  <si>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</si>
  <si>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</si>
  <si>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</si>
  <si>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</si>
  <si>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</si>
  <si>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</si>
  <si>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</si>
  <si>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</si>
  <si>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</si>
  <si>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</si>
  <si>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</si>
  <si>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</si>
  <si>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</si>
  <si>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</si>
  <si>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</si>
  <si>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</si>
  <si>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</si>
  <si>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</si>
  <si>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</si>
  <si>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</si>
  <si>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</si>
  <si>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</si>
  <si>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</si>
  <si>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</si>
  <si>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</si>
  <si>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</si>
  <si>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</si>
  <si>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</si>
  <si>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</si>
  <si>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</si>
  <si>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</si>
  <si>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</si>
  <si>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</si>
  <si>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</si>
  <si>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</si>
  <si>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</si>
  <si>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</si>
  <si>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</si>
  <si>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</si>
  <si>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</si>
  <si>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</si>
  <si>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</si>
  <si>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</si>
  <si>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</si>
  <si>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</si>
  <si>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</si>
  <si>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</si>
  <si>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</si>
  <si>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</si>
  <si>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</si>
  <si>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</si>
  <si>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</si>
  <si>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</si>
  <si>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</si>
  <si>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</si>
  <si>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</si>
  <si>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</si>
  <si>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</si>
  <si>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</si>
  <si>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</si>
  <si>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</si>
  <si>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</si>
  <si>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</si>
  <si>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</si>
  <si>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</si>
  <si>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</si>
  <si>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</si>
  <si>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</si>
  <si>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</si>
  <si>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</si>
  <si>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</si>
  <si>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</si>
  <si>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</si>
  <si>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</si>
  <si>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</si>
  <si>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</si>
  <si>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</si>
  <si>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</si>
  <si>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</si>
  <si>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</si>
  <si>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</si>
  <si>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</si>
  <si>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</si>
  <si>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</si>
  <si>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</si>
  <si>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</si>
  <si>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</si>
  <si>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</si>
  <si>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</si>
  <si>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</si>
  <si>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</si>
  <si>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</si>
  <si>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</si>
  <si>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</si>
  <si>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</si>
  <si>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</si>
  <si>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</si>
  <si>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</si>
  <si>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</si>
  <si>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</si>
  <si>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</si>
  <si>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</si>
  <si>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</si>
  <si>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</si>
  <si>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</si>
  <si>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</si>
  <si>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</si>
  <si>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</si>
  <si>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</si>
  <si>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</si>
  <si>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</si>
  <si>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</si>
  <si>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</si>
  <si>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</si>
  <si>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</si>
  <si>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</si>
  <si>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</si>
  <si>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</si>
  <si>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</si>
  <si>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</si>
  <si>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</si>
  <si>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</si>
  <si>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</si>
  <si>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</si>
  <si>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</si>
  <si>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</si>
  <si>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</si>
  <si>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</si>
  <si>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</si>
  <si>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</si>
  <si>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</si>
  <si>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</si>
  <si>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</si>
  <si>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</si>
  <si>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</si>
  <si>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</si>
  <si>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</si>
  <si>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</si>
  <si>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</si>
  <si>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</si>
  <si>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</si>
  <si>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</si>
  <si>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</si>
  <si>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</si>
  <si>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</si>
  <si>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</si>
  <si>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</si>
  <si>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</si>
  <si>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</si>
  <si>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</si>
  <si>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</si>
  <si>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</si>
  <si>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</si>
  <si>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</si>
  <si>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</si>
  <si>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</si>
  <si>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</si>
  <si>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</si>
  <si>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</si>
  <si>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</si>
  <si>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</si>
  <si>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</si>
  <si>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</si>
  <si>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</si>
  <si>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</si>
  <si>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</si>
  <si>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</si>
  <si>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</si>
  <si>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</si>
  <si>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</si>
  <si>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</si>
  <si>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</si>
  <si>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</si>
  <si>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</si>
  <si>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</si>
  <si>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</si>
  <si>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</si>
  <si>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</si>
  <si>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</si>
  <si>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</si>
  <si>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</si>
  <si>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</si>
  <si>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</si>
  <si>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</si>
  <si>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</si>
  <si>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</si>
  <si>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</si>
  <si>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</si>
  <si>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</si>
  <si>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</si>
  <si>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</si>
  <si>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</si>
  <si>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</si>
  <si>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</si>
  <si>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</si>
  <si>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</si>
  <si>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</si>
  <si>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</si>
  <si>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</si>
  <si>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</si>
  <si>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</si>
  <si>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</si>
  <si>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</si>
  <si>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</si>
  <si>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</si>
  <si>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</si>
  <si>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</si>
  <si>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</si>
  <si>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</si>
  <si>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</si>
  <si>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</si>
  <si>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</si>
  <si>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</si>
  <si>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</si>
  <si>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</si>
  <si>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</si>
  <si>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</si>
  <si>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</si>
  <si>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</si>
  <si>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</si>
  <si>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</si>
  <si>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</si>
  <si>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</si>
  <si>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</si>
  <si>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</si>
  <si>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</si>
  <si>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</si>
  <si>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</si>
  <si>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</si>
  <si>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</si>
  <si>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</si>
  <si>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</si>
  <si>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</si>
  <si>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</si>
  <si>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</si>
  <si>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</si>
  <si>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</si>
  <si>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</si>
  <si>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</si>
  <si>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</si>
  <si>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</si>
  <si>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</si>
  <si>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</si>
  <si>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</si>
  <si>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</si>
  <si>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</si>
  <si>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</si>
  <si>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</si>
  <si>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</si>
  <si>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</si>
  <si>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</si>
  <si>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</si>
  <si>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</si>
  <si>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</si>
  <si>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</si>
  <si>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</si>
  <si>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</si>
  <si>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</si>
  <si>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</si>
  <si>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</si>
  <si>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</si>
  <si>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</si>
  <si>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</si>
  <si>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</si>
  <si>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</si>
  <si>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</si>
  <si>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</si>
  <si>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</si>
  <si>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</si>
  <si>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</si>
  <si>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</si>
  <si>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</si>
  <si>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</si>
  <si>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</si>
  <si>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</si>
  <si>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</si>
  <si>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</si>
  <si>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</si>
  <si>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</si>
  <si>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</si>
  <si>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</si>
  <si>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</si>
  <si>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</si>
  <si>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</si>
  <si>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</si>
  <si>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</si>
  <si>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</si>
  <si>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</si>
  <si>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</si>
  <si>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</si>
  <si>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</si>
  <si>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</si>
  <si>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</si>
  <si>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</si>
  <si>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</si>
  <si>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</si>
  <si>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</si>
  <si>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</si>
  <si>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</si>
  <si>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</si>
  <si>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</si>
  <si>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</si>
  <si>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</si>
  <si>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</si>
  <si>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</si>
  <si>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</si>
  <si>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</si>
  <si>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</si>
  <si>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</si>
  <si>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</si>
  <si>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</si>
  <si>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</si>
  <si>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</si>
  <si>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</si>
  <si>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</si>
  <si>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</si>
  <si>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</si>
  <si>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</si>
  <si>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</si>
  <si>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</si>
  <si>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</si>
  <si>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</si>
  <si>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</si>
  <si>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</si>
  <si>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</si>
  <si>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</si>
  <si>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</si>
  <si>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</si>
  <si>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</si>
  <si>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</si>
  <si>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</si>
  <si>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</si>
  <si>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</si>
  <si>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</si>
  <si>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</si>
  <si>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</si>
  <si>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</si>
  <si>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</si>
  <si>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</si>
  <si>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</si>
  <si>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</si>
  <si>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</si>
  <si>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</si>
  <si>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</si>
  <si>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</si>
  <si>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</si>
  <si>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</si>
  <si>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</si>
  <si>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</si>
  <si>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</si>
  <si>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</si>
  <si>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</si>
  <si>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</si>
  <si>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</si>
  <si>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</si>
  <si>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</si>
  <si>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</si>
  <si>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</si>
  <si>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</si>
  <si>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</si>
  <si>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</si>
  <si>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</si>
  <si>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</si>
  <si>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</si>
  <si>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</si>
  <si>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</si>
  <si>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</si>
  <si>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</si>
  <si>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</si>
  <si>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</si>
  <si>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</si>
  <si>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</si>
  <si>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</si>
  <si>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</si>
  <si>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</si>
  <si>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</si>
  <si>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</si>
  <si>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</si>
  <si>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</si>
  <si>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</si>
  <si>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</si>
  <si>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</si>
  <si>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</si>
  <si>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</si>
  <si>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</si>
  <si>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</si>
  <si>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</si>
  <si>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</si>
  <si>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</si>
  <si>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</si>
  <si>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</si>
  <si>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</si>
  <si>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</si>
  <si>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</si>
  <si>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</si>
  <si>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</si>
  <si>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</si>
  <si>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</si>
  <si>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</si>
  <si>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</si>
  <si>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</si>
  <si>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</si>
  <si>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</si>
  <si>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</si>
  <si>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</si>
  <si>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</si>
  <si>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</si>
  <si>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</si>
  <si>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</si>
  <si>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</si>
  <si>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</si>
  <si>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</si>
  <si>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</si>
  <si>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</si>
  <si>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</si>
  <si>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</si>
  <si>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</si>
  <si>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</si>
  <si>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</si>
  <si>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</si>
  <si>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</si>
  <si>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</si>
  <si>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</si>
  <si>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</si>
  <si>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</si>
  <si>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</si>
  <si>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</si>
  <si>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</si>
  <si>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</si>
  <si>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</si>
  <si>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</si>
  <si>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</si>
  <si>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</si>
  <si>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</si>
  <si>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</si>
  <si>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</si>
  <si>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</si>
  <si>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</si>
  <si>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</si>
  <si>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</si>
  <si>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</si>
  <si>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</si>
  <si>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</si>
  <si>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</si>
  <si>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</si>
  <si>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</si>
  <si>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</si>
  <si>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</si>
  <si>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</si>
  <si>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</si>
  <si>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</si>
  <si>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</si>
  <si>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</si>
  <si>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</si>
  <si>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</si>
  <si>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</si>
  <si>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</si>
  <si>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</si>
  <si>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</si>
  <si>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</si>
  <si>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</si>
  <si>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</si>
  <si>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</si>
  <si>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</si>
  <si>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</si>
  <si>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</si>
  <si>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</si>
  <si>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</si>
  <si>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</si>
  <si>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</si>
  <si>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</si>
  <si>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</si>
  <si>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</si>
  <si>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</si>
  <si>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</si>
  <si>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</si>
  <si>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</si>
  <si>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</si>
  <si>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</si>
  <si>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</si>
  <si>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</si>
  <si>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</si>
  <si>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</si>
  <si>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</si>
  <si>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</si>
  <si>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</si>
  <si>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</si>
  <si>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</si>
  <si>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</si>
  <si>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</si>
  <si>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</si>
  <si>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</si>
  <si>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</si>
  <si>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</si>
  <si>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</si>
  <si>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</si>
  <si>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</si>
  <si>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</si>
  <si>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</si>
  <si>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</si>
  <si>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</si>
  <si>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</si>
  <si>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</si>
  <si>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</si>
  <si>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</si>
  <si>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</si>
  <si>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</si>
  <si>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</si>
  <si>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</si>
  <si>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</si>
  <si>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</si>
  <si>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</si>
  <si>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</si>
  <si>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</si>
  <si>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</si>
  <si>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</si>
  <si>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</si>
  <si>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</si>
  <si>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</si>
  <si>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</si>
  <si>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</si>
  <si>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</si>
  <si>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</si>
  <si>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</si>
  <si>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</si>
  <si>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</si>
  <si>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</si>
  <si>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</si>
  <si>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</si>
  <si>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</si>
  <si>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</si>
  <si>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</si>
  <si>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</si>
  <si>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</si>
  <si>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</si>
  <si>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</si>
  <si>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</si>
  <si>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</si>
  <si>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</si>
  <si>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</si>
  <si>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</si>
  <si>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</si>
  <si>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</si>
  <si>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</si>
  <si>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</si>
  <si>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</si>
  <si>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</si>
  <si>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</si>
  <si>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</si>
  <si>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</si>
  <si>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</si>
  <si>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</si>
  <si>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</si>
  <si>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</si>
  <si>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</si>
  <si>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</si>
  <si>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</si>
  <si>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</si>
  <si>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</si>
  <si>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</si>
  <si>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</si>
  <si>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</si>
  <si>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</si>
  <si>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</si>
  <si>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</si>
  <si>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</si>
  <si>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</si>
  <si>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</si>
  <si>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</si>
  <si>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</si>
  <si>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</si>
  <si>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</si>
  <si>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</si>
  <si>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</si>
  <si>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</si>
  <si>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</si>
  <si>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</si>
  <si>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</si>
  <si>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</si>
  <si>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</si>
  <si>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</si>
  <si>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</si>
  <si>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</si>
  <si>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</si>
  <si>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</si>
  <si>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</si>
  <si>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</si>
  <si>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</si>
  <si>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</si>
  <si>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</si>
  <si>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</si>
  <si>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</si>
  <si>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</si>
  <si>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</si>
  <si>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</si>
  <si>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</si>
  <si>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</si>
  <si>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</si>
  <si>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</si>
  <si>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</si>
  <si>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</si>
  <si>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</si>
  <si>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</si>
  <si>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</si>
  <si>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</si>
  <si>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</si>
  <si>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</si>
  <si>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</si>
  <si>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</si>
  <si>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</si>
  <si>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</si>
  <si>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</si>
  <si>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</si>
  <si>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</si>
  <si>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</si>
  <si>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</si>
  <si>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</si>
  <si>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</si>
  <si>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</si>
  <si>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</si>
  <si>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</si>
  <si>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</si>
  <si>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</si>
  <si>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</si>
  <si>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</si>
  <si>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</si>
  <si>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</si>
  <si>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</si>
  <si>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</si>
  <si>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</si>
  <si>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</si>
  <si>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</si>
  <si>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</si>
  <si>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</si>
  <si>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</si>
  <si>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</si>
  <si>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</si>
  <si>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</si>
  <si>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</si>
  <si>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</si>
  <si>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</si>
  <si>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</si>
  <si>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</si>
  <si>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</si>
  <si>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</si>
  <si>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</si>
  <si>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</si>
  <si>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</si>
  <si>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</si>
  <si>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</si>
  <si>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</si>
  <si>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</si>
  <si>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</si>
  <si>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</si>
  <si>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</si>
  <si>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</si>
  <si>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</si>
  <si>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</si>
  <si>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</si>
  <si>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</si>
  <si>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</si>
  <si>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</si>
  <si>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</si>
  <si>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</si>
  <si>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</si>
  <si>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</si>
  <si>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</si>
  <si>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</si>
  <si>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</si>
  <si>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</si>
  <si>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</si>
  <si>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</si>
  <si>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</si>
  <si>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</si>
  <si>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</si>
  <si>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</si>
  <si>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</si>
  <si>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</si>
  <si>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</si>
  <si>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</si>
  <si>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</si>
  <si>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</si>
  <si>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</si>
  <si>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</si>
  <si>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</si>
  <si>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</si>
  <si>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</si>
  <si>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</si>
  <si>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</si>
  <si>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</si>
  <si>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</si>
  <si>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</si>
  <si>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</si>
  <si>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</si>
  <si>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</si>
  <si>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</si>
  <si>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</si>
  <si>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</si>
  <si>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</si>
  <si>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</si>
  <si>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</si>
  <si>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</si>
  <si>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</si>
  <si>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</si>
  <si>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</si>
  <si>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</si>
  <si>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</si>
  <si>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</si>
  <si>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</si>
  <si>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</si>
  <si>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</si>
  <si>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</si>
  <si>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</si>
  <si>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</si>
  <si>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</si>
  <si>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</si>
  <si>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</si>
  <si>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</si>
  <si>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</si>
  <si>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</si>
  <si>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</si>
  <si>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</si>
  <si>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</si>
  <si>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</si>
  <si>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</si>
  <si>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</si>
  <si>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</si>
  <si>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</si>
  <si>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</si>
  <si>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</si>
  <si>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</si>
  <si>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</si>
  <si>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</si>
  <si>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</si>
  <si>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</si>
  <si>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</si>
  <si>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</si>
  <si>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</si>
  <si>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</si>
  <si>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</si>
  <si>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</si>
  <si>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</si>
  <si>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</si>
  <si>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</si>
  <si>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</si>
  <si>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</si>
  <si>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</si>
  <si>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</si>
  <si>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</si>
  <si>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</si>
  <si>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</si>
  <si>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</si>
  <si>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</si>
  <si>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</si>
  <si>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</si>
  <si>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</si>
  <si>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</si>
  <si>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</si>
  <si>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</si>
  <si>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</si>
  <si>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</si>
  <si>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</si>
  <si>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</si>
  <si>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</si>
  <si>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</si>
  <si>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</si>
  <si>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</si>
  <si>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</si>
  <si>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</si>
  <si>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</si>
  <si>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</si>
  <si>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</si>
  <si>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</si>
  <si>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</si>
  <si>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</si>
  <si>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</si>
  <si>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</si>
  <si>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</si>
  <si>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</si>
  <si>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</si>
  <si>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</si>
  <si>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</si>
  <si>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</si>
  <si>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</si>
  <si>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</si>
  <si>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</si>
  <si>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</si>
  <si>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</si>
  <si>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</si>
  <si>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</si>
  <si>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</si>
  <si>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</si>
  <si>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</si>
  <si>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</si>
  <si>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</si>
  <si>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</si>
  <si>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</si>
  <si>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</si>
  <si>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</si>
  <si>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</si>
  <si>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</si>
  <si>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</si>
  <si>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</si>
  <si>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</si>
  <si>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</si>
  <si>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</si>
  <si>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</si>
  <si>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</si>
  <si>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</si>
  <si>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</si>
  <si>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</si>
  <si>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</si>
  <si>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</si>
  <si>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</si>
  <si>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</si>
  <si>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</si>
  <si>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</si>
  <si>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</si>
  <si>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</si>
  <si>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</si>
  <si>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</si>
  <si>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</si>
  <si>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</si>
  <si>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</si>
  <si>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</si>
  <si>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</si>
  <si>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</si>
  <si>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</si>
  <si>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</si>
  <si>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</si>
  <si>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</si>
  <si>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</si>
  <si>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</si>
  <si>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</si>
  <si>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</si>
  <si>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</si>
  <si>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</si>
  <si>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</si>
  <si>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</si>
  <si>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</si>
  <si>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</si>
  <si>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</si>
  <si>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</si>
  <si>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</si>
  <si>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</si>
  <si>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</si>
  <si>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</si>
  <si>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</si>
  <si>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</si>
  <si>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</si>
  <si>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</si>
  <si>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</si>
  <si>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</si>
  <si>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</si>
  <si>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</si>
  <si>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</si>
  <si>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</si>
  <si>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</si>
  <si>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</si>
  <si>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</si>
  <si>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</si>
  <si>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</si>
  <si>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</si>
  <si>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</si>
  <si>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</si>
  <si>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</si>
  <si>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</si>
  <si>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</si>
  <si>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</si>
  <si>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</si>
  <si>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</si>
  <si>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</si>
  <si>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</si>
  <si>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</si>
  <si>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</si>
  <si>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</si>
  <si>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</si>
  <si>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</si>
  <si>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</si>
  <si>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</si>
  <si>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</si>
  <si>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</si>
  <si>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</si>
  <si>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</si>
  <si>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</si>
  <si>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</si>
  <si>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</si>
  <si>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</si>
  <si>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</si>
  <si>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</si>
  <si>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</si>
  <si>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</si>
  <si>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</si>
  <si>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</si>
  <si>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</si>
  <si>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</si>
  <si>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</si>
  <si>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</si>
  <si>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</si>
  <si>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</si>
  <si>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</si>
  <si>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</si>
  <si>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</si>
  <si>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</si>
  <si>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</si>
  <si>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</si>
  <si>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</si>
  <si>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</si>
  <si>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</si>
  <si>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</si>
  <si>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</si>
  <si>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</si>
  <si>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</si>
  <si>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</si>
  <si>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</si>
  <si>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</si>
  <si>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</si>
  <si>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</si>
  <si>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</si>
  <si>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</si>
  <si>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</si>
  <si>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</si>
  <si>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</si>
  <si>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</si>
  <si>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</si>
  <si>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</si>
  <si>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</si>
  <si>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</si>
  <si>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</si>
  <si>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</si>
  <si>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</si>
  <si>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</si>
  <si>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</si>
  <si>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</si>
  <si>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</si>
  <si>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</si>
  <si>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</si>
  <si>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</si>
  <si>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</si>
  <si>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</si>
  <si>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</si>
  <si>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</si>
  <si>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</si>
  <si>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</si>
  <si>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</si>
  <si>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</si>
  <si>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</si>
  <si>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</si>
  <si>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</si>
  <si>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</si>
  <si>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</si>
  <si>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</si>
  <si>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</si>
  <si>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</si>
  <si>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</si>
  <si>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</si>
  <si>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</si>
  <si>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</si>
  <si>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</si>
  <si>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</si>
  <si>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</si>
  <si>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</si>
  <si>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</si>
  <si>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</si>
  <si>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</si>
  <si>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</si>
  <si>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</si>
  <si>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</si>
  <si>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</si>
  <si>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</si>
  <si>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</si>
  <si>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</si>
  <si>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</si>
  <si>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</si>
  <si>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</si>
  <si>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</si>
  <si>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</si>
  <si>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</si>
  <si>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</si>
  <si>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</si>
  <si>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</si>
  <si>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</si>
  <si>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</si>
  <si>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</si>
  <si>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</si>
  <si>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</si>
  <si>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</si>
  <si>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</si>
  <si>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</si>
  <si>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</si>
  <si>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</si>
  <si>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</si>
  <si>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</si>
  <si>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</si>
  <si>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</si>
  <si>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</si>
  <si>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</si>
  <si>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</si>
  <si>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</si>
  <si>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</si>
  <si>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</si>
  <si>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</si>
  <si>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</si>
  <si>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</si>
  <si>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</si>
  <si>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</si>
  <si>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</si>
  <si>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</si>
  <si>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</si>
  <si>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</si>
  <si>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</si>
  <si>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</si>
  <si>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</si>
  <si>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</si>
  <si>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</si>
  <si>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</si>
  <si>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</si>
  <si>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</si>
  <si>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</si>
  <si>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</si>
  <si>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</si>
  <si>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</si>
  <si>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</si>
  <si>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</si>
  <si>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</si>
  <si>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</si>
  <si>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</si>
  <si>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</si>
  <si>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</si>
  <si>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</si>
  <si>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</si>
  <si>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</si>
  <si>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</si>
  <si>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</si>
  <si>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</si>
  <si>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</si>
  <si>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</si>
  <si>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</si>
  <si>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</si>
  <si>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</si>
  <si>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</si>
  <si>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</si>
  <si>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</si>
  <si>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</si>
  <si>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</si>
  <si>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</si>
  <si>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</si>
  <si>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</si>
  <si>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</si>
  <si>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</si>
  <si>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</si>
  <si>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</si>
  <si>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</si>
  <si>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</si>
  <si>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</si>
  <si>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</si>
  <si>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</si>
  <si>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</si>
  <si>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</si>
  <si>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</si>
  <si>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</si>
  <si>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</si>
  <si>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</si>
  <si>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</si>
  <si>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</si>
  <si>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</si>
  <si>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</si>
  <si>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</si>
  <si>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</si>
  <si>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</si>
  <si>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</si>
  <si>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</si>
  <si>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</si>
  <si>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</si>
  <si>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</si>
  <si>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</si>
  <si>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</si>
  <si>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</si>
  <si>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</si>
  <si>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</si>
  <si>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</si>
  <si>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</si>
  <si>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</si>
  <si>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</si>
  <si>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</si>
  <si>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</si>
  <si>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</si>
  <si>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</si>
  <si>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</si>
  <si>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</si>
  <si>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</si>
  <si>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</si>
  <si>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</si>
  <si>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</si>
  <si>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</si>
  <si>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</si>
  <si>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</si>
  <si>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</si>
  <si>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</si>
  <si>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</si>
  <si>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</si>
  <si>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</si>
  <si>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</si>
  <si>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</si>
  <si>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</si>
  <si>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</si>
  <si>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</si>
  <si>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</si>
  <si>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</si>
  <si>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</si>
  <si>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</si>
  <si>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</si>
  <si>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</si>
  <si>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</si>
  <si>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</si>
  <si>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</si>
  <si>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</si>
  <si>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</si>
  <si>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</si>
  <si>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</si>
  <si>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</si>
  <si>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</si>
  <si>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</si>
  <si>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</si>
  <si>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</si>
  <si>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</si>
  <si>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</si>
  <si>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</si>
  <si>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</si>
  <si>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</si>
  <si>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</si>
  <si>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</si>
  <si>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</si>
  <si>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</si>
  <si>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</si>
  <si>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</si>
  <si>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</si>
  <si>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</si>
  <si>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</si>
  <si>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</si>
  <si>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</si>
  <si>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</si>
  <si>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</si>
  <si>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</si>
  <si>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</si>
  <si>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</si>
  <si>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</si>
  <si>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</si>
  <si>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</si>
  <si>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</si>
  <si>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</si>
  <si>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</si>
  <si>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</si>
  <si>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</si>
  <si>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</si>
  <si>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</si>
  <si>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</si>
  <si>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</si>
  <si>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</si>
  <si>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</si>
  <si>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</si>
  <si>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</si>
  <si>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</si>
  <si>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</si>
  <si>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</si>
  <si>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</si>
  <si>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</si>
  <si>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</si>
  <si>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</si>
  <si>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</si>
  <si>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</si>
  <si>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</si>
  <si>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</si>
  <si>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</si>
  <si>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</si>
  <si>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</si>
  <si>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</si>
  <si>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</si>
  <si>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</si>
  <si>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</si>
  <si>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</si>
  <si>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</si>
  <si>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</si>
  <si>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</si>
  <si>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</si>
  <si>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</si>
  <si>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</si>
  <si>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</si>
  <si>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</si>
  <si>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</si>
  <si>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</si>
  <si>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</si>
  <si>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</si>
  <si>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</si>
  <si>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</si>
  <si>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</si>
  <si>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</si>
  <si>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</si>
  <si>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</si>
  <si>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</si>
  <si>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</si>
  <si>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</si>
  <si>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</si>
  <si>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</si>
  <si>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</si>
  <si>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</si>
  <si>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</si>
  <si>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</si>
  <si>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</si>
  <si>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</si>
  <si>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</si>
  <si>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</si>
  <si>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</si>
  <si>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</si>
  <si>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</si>
  <si>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</si>
  <si>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</si>
  <si>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</si>
  <si>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</si>
  <si>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</si>
  <si>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</si>
  <si>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</si>
  <si>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</si>
  <si>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</si>
  <si>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</si>
  <si>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</si>
  <si>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</si>
  <si>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</si>
  <si>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</si>
  <si>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</si>
  <si>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</si>
  <si>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</si>
  <si>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</si>
  <si>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</si>
  <si>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</si>
  <si>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</si>
  <si>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</si>
  <si>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</si>
  <si>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</si>
  <si>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</si>
  <si>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</si>
  <si>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</si>
  <si>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</si>
  <si>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</si>
  <si>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</si>
  <si>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</si>
  <si>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</si>
  <si>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</si>
  <si>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</si>
  <si>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</si>
  <si>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</si>
  <si>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</si>
  <si>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</si>
  <si>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</si>
  <si>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</si>
  <si>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</si>
  <si>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</si>
  <si>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</si>
  <si>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</si>
  <si>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</si>
  <si>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</si>
  <si>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</si>
  <si>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</si>
  <si>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</si>
  <si>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</si>
  <si>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</si>
  <si>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</si>
  <si>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</si>
  <si>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</si>
  <si>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</si>
  <si>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</si>
  <si>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</si>
  <si>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</si>
  <si>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</si>
  <si>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</si>
  <si>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</si>
  <si>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</si>
  <si>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</si>
  <si>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</si>
  <si>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</si>
  <si>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</si>
  <si>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</si>
  <si>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</si>
  <si>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</si>
  <si>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</si>
  <si>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</si>
  <si>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</si>
  <si>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</si>
  <si>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</si>
  <si>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</si>
  <si>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</si>
  <si>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</si>
  <si>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</si>
  <si>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</si>
  <si>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</si>
  <si>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</si>
  <si>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</si>
  <si>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</si>
  <si>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</si>
  <si>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</si>
  <si>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</si>
  <si>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</si>
  <si>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</si>
  <si>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</si>
  <si>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</si>
  <si>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</si>
  <si>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</si>
  <si>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</si>
  <si>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</si>
  <si>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</si>
  <si>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</si>
  <si>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</si>
  <si>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</si>
  <si>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</si>
  <si>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</si>
  <si>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</si>
  <si>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</si>
  <si>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</si>
  <si>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</si>
  <si>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</si>
  <si>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</si>
  <si>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</si>
  <si>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</si>
  <si>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</si>
  <si>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</si>
  <si>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</si>
  <si>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</si>
  <si>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</si>
  <si>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</si>
  <si>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</si>
  <si>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</si>
  <si>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</si>
  <si>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</si>
  <si>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</si>
  <si>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</si>
  <si>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</si>
  <si>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</si>
  <si>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</si>
  <si>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</si>
  <si>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</si>
  <si>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</si>
  <si>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</si>
  <si>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</si>
  <si>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</si>
  <si>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</si>
  <si>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</si>
  <si>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</si>
  <si>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</si>
  <si>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</si>
  <si>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</si>
  <si>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</si>
  <si>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</si>
  <si>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</si>
  <si>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</si>
  <si>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</si>
  <si>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</si>
  <si>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</si>
  <si>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</si>
  <si>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</si>
  <si>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</si>
  <si>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</si>
  <si>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</si>
  <si>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</si>
  <si>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</si>
  <si>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</si>
  <si>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</si>
  <si>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</si>
  <si>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</si>
  <si>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</si>
  <si>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</si>
  <si>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</si>
  <si>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</si>
  <si>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</si>
  <si>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</si>
  <si>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</si>
  <si>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</si>
  <si>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</si>
  <si>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</si>
  <si>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</si>
  <si>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</si>
  <si>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</si>
  <si>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</si>
  <si>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</si>
  <si>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</si>
  <si>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</si>
  <si>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</si>
  <si>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</si>
  <si>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</si>
  <si>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</si>
  <si>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</si>
  <si>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</si>
  <si>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</si>
  <si>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</si>
  <si>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</si>
  <si>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</si>
  <si>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</si>
  <si>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</si>
  <si>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</si>
  <si>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</si>
  <si>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</si>
  <si>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</si>
  <si>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</si>
  <si>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</si>
  <si>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</si>
  <si>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</si>
  <si>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</si>
  <si>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</si>
  <si>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</si>
  <si>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</si>
  <si>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</si>
  <si>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</si>
  <si>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</si>
  <si>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</si>
  <si>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</si>
  <si>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</si>
  <si>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</si>
  <si>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</si>
  <si>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</si>
  <si>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</si>
  <si>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</si>
  <si>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</si>
  <si>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</si>
  <si>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</si>
  <si>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</si>
  <si>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</si>
  <si>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</si>
  <si>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</si>
  <si>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</si>
  <si>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</si>
  <si>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</si>
  <si>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</si>
  <si>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</si>
  <si>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</si>
  <si>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</si>
  <si>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</si>
  <si>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</si>
  <si>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</si>
  <si>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</si>
  <si>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</si>
  <si>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</si>
  <si>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</si>
  <si>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</si>
  <si>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</si>
  <si>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</si>
  <si>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</si>
  <si>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</si>
  <si>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</si>
  <si>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</si>
  <si>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</si>
  <si>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</si>
  <si>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</si>
  <si>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</si>
  <si>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</si>
  <si>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</si>
  <si>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</si>
  <si>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</si>
  <si>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</si>
  <si>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</si>
  <si>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</si>
  <si>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</si>
  <si>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</si>
  <si>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</si>
  <si>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</si>
  <si>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</si>
  <si>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</si>
  <si>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</si>
  <si>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</si>
  <si>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</si>
  <si>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</si>
  <si>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</si>
  <si>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</si>
  <si>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</si>
  <si>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</si>
  <si>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</si>
  <si>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</si>
  <si>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</si>
  <si>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</si>
  <si>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</si>
  <si>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</si>
  <si>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</si>
  <si>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</si>
  <si>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</si>
  <si>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</si>
  <si>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</si>
  <si>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</si>
  <si>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</si>
  <si>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</si>
  <si>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</si>
  <si>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</si>
  <si>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</si>
  <si>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</si>
  <si>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</si>
  <si>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</si>
  <si>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</si>
  <si>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</si>
  <si>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</si>
  <si>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</si>
  <si>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</si>
  <si>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</si>
  <si>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</si>
  <si>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</si>
  <si>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</si>
  <si>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</si>
  <si>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</si>
  <si>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</si>
  <si>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</si>
  <si>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</si>
  <si>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</si>
  <si>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</si>
  <si>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</si>
  <si>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</si>
  <si>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</si>
  <si>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</si>
  <si>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</si>
  <si>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</si>
  <si>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</si>
  <si>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</si>
  <si>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</si>
  <si>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</si>
  <si>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</si>
  <si>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</si>
  <si>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</si>
  <si>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</si>
  <si>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</si>
  <si>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</si>
  <si>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</si>
  <si>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</si>
  <si>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</si>
  <si>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</si>
  <si>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</si>
  <si>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</si>
  <si>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</si>
  <si>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</si>
  <si>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</si>
  <si>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</si>
  <si>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</si>
  <si>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</si>
  <si>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</si>
  <si>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</si>
  <si>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</si>
  <si>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</si>
  <si>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</si>
  <si>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</si>
  <si>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</si>
  <si>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</si>
  <si>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</si>
  <si>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</si>
  <si>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</si>
  <si>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</si>
  <si>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</si>
  <si>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</si>
  <si>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</si>
  <si>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</si>
  <si>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</si>
  <si>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</si>
  <si>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</si>
  <si>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</si>
  <si>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</si>
  <si>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</si>
  <si>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</si>
  <si>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</si>
  <si>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</si>
  <si>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</si>
  <si>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</si>
  <si>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</si>
  <si>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</si>
  <si>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</si>
  <si>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</si>
  <si>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</si>
  <si>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</si>
  <si>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</si>
  <si>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</si>
  <si>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</si>
  <si>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</si>
  <si>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</si>
  <si>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</si>
  <si>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</si>
  <si>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</si>
  <si>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</si>
  <si>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</si>
  <si>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</si>
  <si>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</si>
  <si>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</si>
  <si>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</si>
  <si>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</si>
  <si>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</si>
  <si>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</si>
  <si>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</si>
  <si>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</si>
  <si>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</si>
  <si>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</si>
  <si>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</si>
  <si>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</si>
  <si>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</si>
  <si>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</si>
  <si>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</si>
  <si>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</si>
  <si>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</si>
  <si>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</si>
  <si>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</si>
  <si>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</si>
  <si>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</si>
  <si>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</si>
  <si>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</si>
  <si>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</si>
  <si>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</si>
  <si>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</si>
  <si>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</si>
  <si>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</si>
  <si>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</si>
  <si>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</si>
  <si>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</si>
  <si>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</si>
  <si>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</si>
  <si>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</si>
  <si>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</si>
  <si>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</si>
  <si>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</si>
  <si>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</si>
  <si>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</si>
  <si>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</si>
  <si>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</si>
  <si>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</si>
  <si>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</si>
  <si>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</si>
  <si>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</si>
  <si>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</si>
  <si>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</si>
  <si>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</si>
  <si>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</si>
  <si>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</si>
  <si>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</si>
  <si>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</si>
  <si>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</si>
  <si>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</si>
  <si>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</si>
  <si>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</si>
  <si>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</si>
  <si>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</si>
  <si>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</si>
  <si>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</si>
  <si>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</si>
  <si>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</si>
  <si>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</si>
  <si>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</si>
  <si>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</si>
  <si>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</si>
  <si>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</si>
  <si>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</si>
  <si>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</si>
  <si>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</si>
  <si>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</si>
  <si>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</si>
  <si>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</si>
  <si>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</si>
  <si>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</si>
  <si>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</si>
  <si>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</si>
  <si>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</si>
  <si>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</si>
  <si>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</si>
  <si>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</si>
  <si>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</si>
  <si>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</si>
  <si>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</si>
  <si>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</si>
  <si>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</si>
  <si>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</si>
  <si>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</si>
  <si>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</si>
  <si>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</si>
  <si>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</si>
  <si>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</si>
  <si>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</si>
  <si>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</si>
  <si>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</si>
  <si>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</si>
  <si>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</si>
  <si>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</si>
  <si>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</si>
  <si>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</si>
  <si>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</si>
  <si>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</si>
  <si>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</si>
  <si>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</si>
  <si>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</si>
  <si>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</si>
  <si>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</si>
  <si>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</si>
  <si>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</si>
  <si>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</si>
  <si>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</si>
  <si>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</si>
  <si>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</si>
  <si>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</si>
  <si>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</si>
  <si>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</si>
  <si>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</si>
  <si>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</si>
  <si>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</si>
  <si>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</si>
  <si>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</si>
  <si>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</si>
  <si>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</si>
  <si>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</si>
  <si>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</si>
  <si>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</si>
  <si>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</si>
  <si>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</si>
  <si>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</si>
  <si>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</si>
  <si>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</si>
  <si>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</si>
  <si>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</si>
  <si>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</si>
  <si>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</si>
  <si>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</si>
  <si>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</si>
  <si>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</si>
  <si>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</si>
  <si>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</si>
  <si>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</si>
  <si>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</si>
  <si>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</si>
  <si>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</si>
  <si>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</si>
  <si>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</si>
  <si>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</si>
  <si>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</si>
  <si>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</si>
  <si>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</si>
  <si>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</si>
  <si>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</si>
  <si>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</si>
  <si>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</si>
  <si>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</si>
  <si>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</si>
  <si>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</si>
  <si>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</si>
  <si>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</si>
  <si>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</si>
  <si>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</si>
  <si>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</si>
  <si>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</si>
  <si>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</si>
  <si>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</si>
  <si>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</si>
  <si>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</si>
  <si>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</si>
  <si>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</si>
  <si>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</si>
  <si>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</si>
  <si>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</si>
  <si>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</si>
  <si>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</si>
  <si>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</si>
  <si>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</si>
  <si>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</si>
  <si>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</si>
  <si>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</si>
  <si>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</si>
  <si>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</si>
  <si>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</si>
  <si>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</si>
  <si>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</si>
  <si>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</si>
  <si>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</si>
  <si>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</si>
  <si>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</si>
  <si>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</si>
  <si>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</si>
  <si>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</si>
  <si>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</si>
  <si>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</si>
  <si>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</si>
  <si>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</si>
  <si>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</si>
  <si>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</si>
  <si>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</si>
  <si>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</si>
  <si>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</si>
  <si>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</si>
  <si>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</si>
  <si>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</si>
  <si>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</si>
  <si>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</si>
  <si>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</si>
  <si>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</si>
  <si>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</si>
  <si>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</si>
  <si>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</si>
  <si>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</si>
  <si>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</si>
  <si>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</si>
  <si>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</si>
  <si>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</si>
  <si>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</si>
  <si>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</si>
  <si>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</si>
  <si>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</si>
  <si>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</si>
  <si>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</si>
  <si>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</si>
  <si>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</si>
  <si>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</si>
  <si>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</si>
  <si>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</si>
  <si>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</si>
  <si>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</si>
  <si>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</si>
  <si>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</si>
  <si>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</si>
  <si>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</si>
  <si>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</si>
  <si>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</si>
  <si>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</si>
  <si>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</si>
  <si>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</si>
  <si>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</si>
  <si>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</si>
  <si>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</si>
  <si>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</si>
  <si>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</si>
  <si>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</si>
  <si>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</si>
  <si>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</si>
  <si>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</si>
  <si>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</si>
  <si>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</si>
  <si>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</si>
  <si>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</si>
  <si>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</si>
  <si>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</si>
  <si>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</si>
  <si>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</si>
  <si>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</si>
  <si>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</si>
  <si>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</si>
  <si>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</si>
  <si>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</si>
  <si>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</si>
  <si>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</si>
  <si>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</si>
  <si>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</si>
  <si>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</si>
  <si>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</si>
  <si>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</si>
  <si>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</si>
  <si>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</si>
  <si>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</si>
  <si>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</si>
  <si>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</si>
  <si>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</si>
  <si>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</si>
  <si>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</si>
  <si>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</si>
  <si>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</si>
  <si>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</si>
  <si>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</si>
  <si>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</si>
  <si>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</si>
  <si>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</si>
  <si>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</si>
  <si>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</si>
  <si>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</si>
  <si>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</si>
  <si>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</si>
  <si>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</si>
  <si>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</si>
  <si>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</si>
  <si>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</si>
  <si>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</si>
  <si>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</si>
  <si>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</si>
  <si>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</si>
  <si>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</si>
  <si>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</si>
  <si>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</si>
  <si>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</si>
  <si>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</si>
  <si>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</si>
  <si>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</si>
  <si>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</si>
  <si>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</si>
  <si>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</si>
  <si>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</si>
  <si>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</si>
  <si>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</si>
  <si>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</si>
  <si>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</si>
  <si>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</si>
  <si>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</si>
  <si>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</si>
  <si>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</si>
  <si>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</si>
  <si>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</si>
  <si>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</si>
  <si>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</si>
  <si>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</si>
  <si>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</si>
  <si>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</si>
  <si>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</si>
  <si>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</si>
  <si>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</si>
  <si>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</si>
  <si>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</si>
  <si>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</si>
  <si>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</si>
  <si>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</si>
  <si>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</si>
  <si>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</si>
  <si>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</si>
  <si>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</si>
  <si>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</si>
  <si>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</si>
  <si>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</si>
  <si>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</si>
  <si>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</si>
  <si>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</si>
  <si>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</si>
  <si>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</si>
  <si>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</si>
  <si>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</si>
  <si>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</si>
  <si>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</si>
  <si>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</si>
  <si>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</si>
  <si>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</si>
  <si>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</si>
  <si>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</si>
  <si>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</si>
  <si>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</si>
  <si>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</si>
  <si>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</si>
  <si>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</si>
  <si>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</si>
  <si>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</si>
  <si>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</si>
  <si>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</si>
  <si>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</si>
  <si>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</si>
  <si>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</si>
  <si>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</si>
  <si>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</si>
  <si>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</si>
  <si>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</si>
  <si>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</si>
  <si>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</si>
  <si>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</si>
  <si>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</si>
  <si>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</si>
  <si>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</si>
  <si>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</si>
  <si>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</si>
  <si>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</si>
  <si>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</si>
  <si>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</si>
  <si>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</si>
  <si>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</si>
  <si>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</si>
  <si>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</si>
  <si>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</si>
  <si>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</si>
  <si>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</si>
  <si>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</si>
  <si>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</si>
  <si>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</si>
  <si>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</si>
  <si>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</si>
  <si>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</si>
  <si>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</si>
  <si>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</si>
  <si>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</si>
  <si>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</si>
  <si>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</si>
  <si>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</si>
  <si>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</si>
  <si>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</si>
  <si>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</si>
  <si>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</si>
  <si>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</si>
  <si>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</si>
  <si>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</si>
  <si>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</si>
  <si>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</si>
  <si>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</si>
  <si>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</si>
  <si>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</si>
  <si>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</si>
  <si>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</si>
  <si>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</si>
  <si>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</si>
  <si>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</si>
  <si>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</si>
  <si>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</si>
  <si>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</si>
  <si>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</si>
  <si>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</si>
  <si>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</si>
  <si>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</si>
  <si>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</si>
  <si>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</si>
  <si>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</si>
  <si>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</si>
  <si>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</si>
  <si>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</si>
  <si>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</si>
  <si>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</si>
  <si>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</si>
  <si>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</si>
  <si>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</si>
  <si>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</si>
  <si>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</si>
  <si>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</si>
  <si>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</si>
  <si>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</si>
  <si>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</si>
  <si>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</si>
  <si>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</si>
  <si>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</si>
  <si>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</si>
  <si>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</si>
  <si>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</si>
  <si>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</si>
  <si>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</si>
  <si>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</si>
  <si>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</si>
  <si>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</si>
  <si>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</si>
  <si>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</si>
  <si>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</si>
  <si>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</si>
  <si>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</si>
  <si>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</si>
  <si>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</si>
  <si>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</si>
  <si>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</si>
  <si>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</si>
  <si>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</si>
  <si>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</si>
  <si>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</si>
  <si>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</si>
  <si>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</si>
  <si>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</si>
  <si>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</si>
  <si>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</si>
  <si>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</si>
  <si>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</si>
  <si>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</si>
  <si>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</si>
  <si>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</si>
  <si>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</si>
  <si>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</si>
  <si>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</si>
  <si>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</si>
  <si>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</si>
  <si>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</si>
  <si>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</si>
  <si>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</si>
  <si>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</si>
  <si>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</si>
  <si>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</si>
  <si>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</si>
  <si>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</si>
  <si>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</si>
  <si>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</si>
  <si>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</si>
  <si>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</si>
  <si>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</si>
  <si>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</si>
  <si>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</si>
  <si>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</si>
  <si>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</si>
  <si>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</si>
  <si>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</si>
  <si>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</si>
  <si>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</si>
  <si>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</si>
  <si>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</si>
  <si>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</si>
  <si>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</si>
  <si>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</si>
  <si>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</si>
  <si>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</si>
  <si>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</si>
  <si>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</si>
  <si>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</si>
  <si>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</si>
  <si>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</si>
  <si>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</si>
  <si>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</si>
  <si>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</si>
  <si>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</si>
  <si>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</si>
  <si>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</si>
  <si>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</si>
  <si>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</si>
  <si>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</si>
  <si>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</si>
  <si>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</si>
  <si>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</si>
  <si>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</si>
  <si>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</si>
  <si>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</si>
  <si>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</si>
  <si>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</si>
  <si>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</si>
  <si>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</si>
  <si>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</si>
  <si>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</si>
  <si>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</si>
  <si>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</si>
  <si>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</si>
  <si>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</si>
  <si>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</si>
  <si>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</si>
  <si>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</si>
  <si>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</si>
  <si>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</si>
  <si>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</si>
  <si>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</si>
  <si>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</si>
  <si>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</si>
  <si>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</si>
  <si>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</si>
  <si>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</si>
  <si>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</si>
  <si>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</si>
  <si>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</si>
  <si>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</si>
  <si>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</si>
  <si>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</si>
  <si>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</si>
  <si>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</si>
  <si>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</si>
  <si>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</si>
  <si>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</si>
  <si>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</si>
  <si>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</si>
  <si>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</si>
  <si>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</si>
  <si>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</si>
  <si>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</si>
  <si>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</si>
  <si>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</si>
  <si>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</si>
  <si>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</si>
  <si>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</si>
  <si>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</si>
  <si>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</si>
  <si>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</si>
  <si>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</si>
  <si>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</si>
  <si>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</si>
  <si>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</si>
  <si>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</si>
  <si>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</si>
  <si>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</si>
  <si>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</si>
  <si>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</si>
  <si>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</si>
  <si>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</si>
  <si>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</si>
  <si>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</si>
  <si>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</si>
  <si>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</si>
  <si>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</si>
  <si>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</si>
  <si>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</si>
  <si>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</si>
  <si>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</si>
  <si>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</si>
  <si>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</si>
  <si>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</si>
  <si>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</si>
  <si>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</si>
  <si>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</si>
  <si>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</si>
  <si>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</si>
  <si>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</si>
  <si>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</si>
  <si>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</si>
  <si>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</si>
  <si>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</si>
  <si>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</si>
  <si>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</si>
  <si>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</si>
  <si>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</si>
  <si>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</si>
  <si>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</si>
  <si>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</si>
  <si>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</si>
  <si>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</si>
  <si>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</si>
  <si>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</si>
  <si>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</si>
  <si>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</si>
  <si>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</si>
  <si>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</si>
  <si>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</si>
  <si>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</si>
  <si>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</si>
  <si>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</si>
  <si>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</si>
  <si>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</si>
  <si>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</si>
  <si>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</si>
  <si>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</si>
  <si>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</si>
  <si>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</si>
  <si>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</si>
  <si>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</si>
  <si>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</si>
  <si>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</si>
  <si>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</si>
  <si>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</si>
  <si>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</si>
  <si>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</si>
  <si>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</si>
  <si>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</si>
  <si>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</si>
  <si>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</si>
  <si>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</si>
  <si>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</si>
  <si>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</si>
  <si>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</si>
  <si>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</si>
  <si>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</si>
  <si>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</si>
  <si>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</si>
  <si>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</si>
  <si>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</si>
  <si>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</si>
  <si>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</si>
  <si>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</si>
  <si>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</si>
  <si>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</si>
  <si>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</si>
  <si>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</si>
  <si>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</si>
  <si>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</si>
  <si>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</si>
  <si>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</si>
  <si>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</si>
  <si>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</si>
  <si>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</si>
  <si>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</si>
  <si>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</si>
  <si>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</si>
  <si>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</si>
  <si>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</si>
  <si>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</si>
  <si>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</si>
  <si>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</si>
  <si>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</si>
  <si>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</si>
  <si>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</si>
  <si>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</si>
  <si>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</si>
  <si>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</si>
  <si>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</si>
  <si>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</si>
  <si>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</si>
  <si>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</si>
  <si>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</si>
  <si>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</si>
  <si>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</si>
  <si>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</si>
  <si>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</si>
  <si>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</si>
  <si>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</si>
  <si>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</si>
  <si>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</si>
  <si>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</si>
  <si>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</si>
  <si>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</si>
  <si>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</si>
  <si>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</si>
  <si>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</si>
  <si>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</si>
  <si>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</si>
  <si>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</si>
  <si>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</si>
  <si>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</si>
  <si>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</si>
  <si>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</si>
  <si>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</si>
  <si>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</si>
  <si>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</si>
  <si>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</si>
  <si>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</si>
  <si>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</si>
  <si>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</si>
  <si>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</si>
  <si>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</si>
  <si>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</si>
  <si>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</si>
  <si>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</si>
  <si>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</si>
  <si>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</si>
  <si>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</si>
  <si>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</si>
  <si>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</si>
  <si>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</si>
  <si>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</si>
  <si>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</si>
  <si>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</si>
  <si>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</si>
  <si>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</si>
  <si>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</si>
  <si>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</si>
  <si>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</si>
  <si>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</si>
  <si>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</si>
  <si>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</si>
  <si>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</si>
  <si>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</si>
  <si>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</si>
  <si>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</si>
  <si>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</si>
  <si>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</si>
  <si>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</si>
  <si>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</si>
  <si>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</si>
  <si>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</si>
  <si>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</si>
  <si>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</si>
  <si>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</si>
  <si>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</si>
  <si>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</si>
  <si>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</si>
  <si>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</si>
  <si>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</si>
  <si>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</si>
  <si>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</si>
  <si>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</si>
  <si>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</si>
  <si>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</si>
  <si>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</si>
  <si>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</si>
  <si>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</si>
  <si>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</si>
  <si>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</si>
  <si>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</si>
  <si>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</si>
  <si>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</si>
  <si>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</si>
  <si>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</si>
  <si>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</si>
  <si>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</si>
  <si>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</si>
  <si>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</si>
  <si>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</si>
  <si>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</si>
  <si>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</si>
  <si>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</si>
  <si>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</si>
  <si>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</si>
  <si>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</si>
  <si>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</si>
  <si>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</si>
  <si>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</si>
  <si>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</si>
  <si>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</si>
  <si>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</si>
  <si>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</si>
  <si>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</si>
  <si>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</si>
  <si>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</si>
  <si>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</si>
  <si>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</si>
  <si>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</si>
  <si>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</si>
  <si>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</si>
  <si>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</si>
  <si>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</si>
  <si>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</si>
  <si>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</si>
  <si>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</si>
  <si>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</si>
  <si>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</si>
  <si>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</si>
  <si>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</si>
  <si>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</si>
  <si>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</si>
  <si>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</si>
  <si>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</si>
  <si>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</si>
  <si>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</si>
  <si>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</si>
  <si>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</si>
  <si>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</si>
  <si>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</si>
  <si>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</si>
  <si>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</si>
  <si>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</si>
  <si>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</si>
  <si>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</si>
  <si>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</si>
  <si>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</si>
  <si>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</si>
  <si>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</si>
  <si>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</si>
  <si>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</si>
  <si>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</si>
  <si>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</si>
  <si>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</si>
  <si>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</si>
  <si>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</si>
  <si>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</si>
  <si>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</si>
  <si>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</si>
  <si>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</si>
  <si>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</si>
  <si>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</si>
  <si>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</si>
  <si>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</si>
  <si>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</si>
  <si>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</si>
  <si>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</si>
  <si>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</si>
  <si>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</si>
  <si>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</si>
  <si>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</si>
  <si>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</si>
  <si>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</si>
  <si>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</si>
  <si>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</si>
  <si>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</si>
  <si>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</si>
  <si>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</si>
  <si>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</si>
  <si>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</si>
  <si>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</si>
  <si>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</si>
  <si>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</si>
  <si>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</si>
  <si>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</si>
  <si>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</si>
  <si>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</si>
  <si>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</si>
  <si>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</si>
  <si>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</si>
  <si>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</si>
  <si>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</si>
  <si>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</si>
  <si>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</si>
  <si>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</si>
  <si>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</si>
  <si>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</si>
  <si>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</si>
  <si>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</si>
  <si>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</si>
  <si>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</si>
  <si>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</si>
  <si>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</si>
  <si>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</si>
  <si>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</si>
  <si>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</si>
  <si>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</si>
  <si>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</si>
  <si>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</si>
  <si>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</si>
  <si>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</si>
  <si>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</si>
  <si>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</si>
  <si>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</si>
  <si>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</si>
  <si>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</si>
  <si>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</si>
  <si>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</si>
  <si>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</si>
  <si>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</si>
  <si>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</si>
  <si>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</si>
  <si>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</si>
  <si>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</si>
  <si>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</si>
  <si>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</si>
  <si>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</si>
  <si>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</si>
  <si>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</si>
  <si>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</si>
  <si>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</si>
  <si>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</si>
  <si>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</si>
  <si>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</si>
  <si>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</si>
  <si>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</si>
  <si>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</si>
  <si>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</si>
  <si>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</si>
  <si>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</si>
  <si>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</si>
  <si>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</si>
  <si>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</si>
  <si>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</si>
  <si>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</si>
  <si>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</si>
  <si>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</si>
  <si>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</si>
  <si>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</si>
  <si>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</si>
  <si>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</si>
  <si>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</si>
  <si>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</si>
  <si>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</si>
  <si>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</si>
  <si>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</si>
  <si>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</si>
  <si>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</si>
  <si>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</si>
  <si>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</si>
  <si>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</si>
  <si>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</si>
  <si>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</si>
  <si>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</si>
  <si>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</si>
  <si>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</si>
  <si>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</si>
  <si>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</si>
  <si>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</si>
  <si>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</si>
  <si>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</si>
  <si>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</si>
  <si>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</si>
  <si>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</si>
  <si>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</si>
  <si>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</si>
  <si>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</si>
  <si>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</si>
  <si>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</si>
  <si>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</si>
  <si>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</si>
  <si>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</si>
  <si>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</si>
  <si>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</si>
  <si>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</si>
  <si>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</si>
  <si>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</si>
  <si>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</si>
  <si>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</si>
  <si>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</si>
  <si>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</si>
  <si>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</si>
  <si>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</si>
  <si>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</si>
  <si>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</si>
  <si>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</si>
  <si>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</si>
  <si>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</si>
  <si>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</si>
  <si>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</si>
  <si>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</si>
  <si>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</si>
  <si>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</si>
  <si>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</si>
  <si>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</si>
  <si>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</si>
  <si>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</si>
  <si>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</si>
  <si>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</si>
  <si>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</si>
  <si>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</si>
  <si>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</si>
  <si>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</si>
  <si>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</si>
  <si>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</si>
  <si>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</si>
  <si>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</si>
  <si>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</si>
  <si>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</si>
  <si>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</si>
  <si>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</si>
  <si>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</si>
  <si>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</si>
  <si>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</si>
  <si>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</si>
  <si>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</si>
  <si>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</si>
  <si>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</si>
  <si>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</si>
  <si>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</si>
  <si>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</si>
  <si>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</si>
  <si>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</si>
  <si>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</si>
  <si>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</si>
  <si>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</si>
  <si>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</si>
  <si>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</si>
  <si>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</si>
  <si>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</si>
  <si>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</si>
  <si>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</si>
  <si>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</si>
  <si>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</si>
  <si>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</si>
  <si>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</si>
  <si>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</si>
  <si>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</si>
  <si>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</si>
  <si>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</si>
  <si>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</si>
  <si>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</si>
  <si>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</si>
  <si>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</si>
  <si>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</si>
  <si>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</si>
  <si>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</si>
  <si>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</si>
  <si>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</si>
  <si>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</si>
  <si>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</si>
  <si>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</si>
  <si>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</si>
  <si>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</si>
  <si>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</si>
  <si>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</si>
  <si>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</si>
  <si>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</si>
  <si>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</si>
  <si>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</si>
  <si>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</si>
  <si>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</si>
  <si>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</si>
  <si>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</si>
  <si>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</si>
  <si>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</si>
  <si>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</si>
  <si>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</si>
  <si>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</si>
  <si>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</si>
  <si>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</si>
  <si>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</si>
  <si>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</si>
  <si>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</si>
  <si>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</si>
  <si>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</si>
  <si>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</si>
  <si>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</si>
  <si>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</si>
  <si>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</si>
  <si>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</si>
  <si>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</si>
  <si>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</si>
  <si>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</si>
  <si>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</si>
  <si>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</si>
  <si>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</si>
  <si>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</si>
  <si>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</si>
  <si>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</si>
  <si>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</si>
  <si>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</si>
  <si>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</si>
  <si>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</si>
  <si>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</si>
  <si>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</si>
  <si>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</si>
  <si>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</si>
  <si>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</si>
  <si>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</si>
  <si>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</si>
  <si>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</si>
  <si>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</si>
  <si>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</si>
  <si>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</si>
  <si>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</si>
  <si>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</si>
  <si>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</si>
  <si>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</si>
  <si>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</si>
  <si>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</si>
  <si>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</si>
  <si>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</si>
  <si>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</si>
  <si>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</si>
  <si>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</si>
  <si>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</si>
  <si>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</si>
  <si>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</si>
  <si>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</si>
  <si>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</si>
  <si>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</si>
  <si>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</si>
  <si>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</si>
  <si>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</si>
  <si>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</si>
  <si>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</si>
  <si>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</si>
  <si>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</si>
  <si>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</si>
  <si>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</si>
  <si>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</si>
  <si>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</si>
  <si>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</si>
  <si>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</si>
  <si>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</si>
  <si>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</si>
  <si>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</si>
  <si>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</si>
  <si>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</si>
  <si>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</si>
  <si>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</si>
  <si>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</si>
  <si>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</si>
  <si>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</si>
  <si>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</si>
  <si>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</si>
  <si>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</si>
  <si>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</si>
  <si>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</si>
  <si>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</si>
  <si>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</si>
  <si>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</si>
  <si>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</si>
  <si>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</si>
  <si>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</si>
  <si>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</si>
  <si>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</si>
  <si>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</si>
  <si>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</si>
  <si>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</si>
  <si>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</si>
  <si>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</si>
  <si>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</si>
  <si>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</si>
  <si>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</si>
  <si>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</si>
  <si>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</si>
  <si>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</si>
  <si>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</si>
  <si>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</si>
  <si>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</si>
  <si>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</si>
  <si>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</si>
  <si>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</si>
  <si>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</si>
  <si>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</si>
  <si>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</si>
  <si>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</si>
  <si>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</si>
  <si>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</si>
  <si>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</si>
  <si>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</si>
  <si>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</si>
  <si>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</si>
  <si>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</si>
  <si>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</si>
  <si>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</si>
  <si>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</si>
  <si>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</si>
  <si>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</si>
  <si>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</si>
  <si>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</si>
  <si>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</si>
  <si>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</si>
  <si>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</si>
  <si>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</si>
  <si>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</si>
  <si>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</si>
  <si>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</si>
  <si>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</si>
  <si>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</si>
  <si>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</si>
  <si>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</si>
  <si>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</si>
  <si>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</si>
  <si>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</si>
  <si>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</si>
  <si>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</si>
  <si>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</si>
  <si>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</si>
  <si>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</si>
  <si>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</si>
  <si>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</si>
  <si>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</si>
  <si>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</si>
  <si>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</si>
  <si>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</si>
  <si>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</si>
  <si>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</si>
  <si>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</si>
  <si>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</si>
  <si>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</si>
  <si>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</si>
  <si>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</si>
  <si>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</si>
  <si>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</si>
  <si>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</si>
  <si>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</si>
  <si>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</si>
  <si>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</si>
  <si>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</si>
  <si>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</si>
  <si>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</si>
  <si>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</si>
  <si>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</si>
  <si>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</si>
  <si>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</si>
  <si>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</si>
  <si>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</si>
  <si>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</si>
  <si>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</si>
  <si>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</si>
  <si>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</si>
  <si>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</si>
  <si>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</si>
  <si>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</si>
  <si>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</si>
  <si>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</si>
  <si>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</si>
  <si>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</si>
  <si>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</si>
  <si>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</si>
  <si>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</si>
  <si>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</si>
  <si>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</si>
  <si>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</si>
  <si>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</si>
  <si>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</si>
  <si>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</si>
  <si>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</si>
  <si>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</si>
  <si>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</si>
  <si>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</si>
  <si>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</si>
  <si>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</si>
  <si>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</si>
  <si>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</si>
  <si>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</si>
  <si>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</si>
  <si>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</si>
  <si>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</si>
  <si>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</si>
  <si>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</si>
  <si>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</si>
  <si>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</si>
  <si>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</si>
  <si>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</si>
  <si>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</si>
  <si>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</si>
  <si>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</si>
  <si>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</si>
  <si>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</si>
  <si>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</si>
  <si>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</si>
  <si>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</si>
  <si>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</si>
  <si>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</si>
  <si>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</si>
  <si>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</si>
  <si>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</si>
  <si>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</si>
  <si>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</si>
  <si>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</si>
  <si>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</si>
  <si>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</si>
  <si>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</si>
  <si>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</si>
  <si>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</si>
  <si>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</si>
  <si>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</si>
  <si>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</si>
  <si>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</si>
  <si>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</si>
  <si>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</si>
  <si>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</si>
  <si>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</si>
  <si>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</si>
  <si>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</si>
  <si>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</si>
  <si>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</si>
  <si>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</si>
  <si>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</si>
  <si>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</si>
  <si>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</si>
  <si>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</si>
  <si>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</si>
  <si>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</si>
  <si>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</si>
  <si>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</si>
  <si>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</si>
  <si>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</si>
  <si>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</si>
  <si>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</si>
  <si>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</si>
  <si>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</si>
  <si>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</si>
  <si>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</si>
  <si>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</si>
  <si>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</si>
  <si>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</si>
  <si>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</si>
  <si>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</si>
  <si>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</si>
  <si>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</si>
  <si>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</si>
  <si>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</si>
  <si>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</si>
  <si>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</si>
  <si>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</si>
  <si>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</si>
  <si>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</si>
  <si>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</si>
  <si>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</si>
  <si>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</si>
  <si>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</si>
  <si>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</si>
  <si>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</si>
  <si>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</si>
  <si>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</si>
  <si>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</si>
  <si>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</si>
  <si>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</si>
  <si>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</si>
  <si>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</si>
  <si>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</si>
  <si>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</si>
  <si>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</si>
  <si>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</si>
  <si>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</si>
  <si>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</si>
  <si>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</si>
  <si>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</si>
  <si>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</si>
  <si>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</si>
  <si>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</si>
  <si>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</si>
  <si>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</si>
  <si>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</si>
  <si>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</si>
  <si>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</si>
  <si>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</si>
  <si>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</si>
  <si>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</si>
  <si>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</si>
  <si>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</si>
  <si>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</si>
  <si>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</si>
  <si>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</si>
  <si>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</si>
  <si>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</si>
  <si>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</si>
  <si>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</si>
  <si>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</si>
  <si>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</si>
  <si>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</si>
  <si>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</si>
  <si>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</si>
  <si>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</si>
  <si>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</si>
  <si>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</si>
  <si>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</si>
  <si>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</si>
  <si>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</si>
  <si>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</si>
  <si>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</si>
  <si>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</si>
  <si>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</si>
  <si>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</si>
  <si>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</si>
  <si>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</si>
  <si>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</si>
  <si>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</si>
  <si>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</si>
  <si>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</si>
  <si>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</si>
  <si>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</si>
  <si>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</si>
  <si>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</si>
  <si>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</si>
  <si>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</si>
  <si>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</si>
  <si>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</si>
  <si>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</si>
  <si>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</si>
  <si>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</si>
  <si>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</si>
  <si>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</si>
  <si>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</si>
  <si>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</si>
  <si>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</si>
  <si>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</si>
  <si>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</si>
  <si>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</si>
  <si>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</si>
  <si>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</si>
  <si>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</si>
  <si>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</si>
  <si>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</si>
  <si>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</si>
  <si>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</si>
  <si>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</si>
  <si>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</si>
  <si>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</si>
  <si>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</si>
  <si>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</si>
  <si>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</si>
  <si>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</si>
  <si>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</si>
  <si>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</si>
  <si>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</si>
  <si>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</si>
  <si>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</si>
  <si>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</si>
  <si>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</si>
  <si>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</si>
  <si>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</si>
  <si>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</si>
  <si>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</si>
  <si>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</si>
  <si>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</si>
  <si>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</si>
  <si>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</si>
  <si>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</si>
  <si>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</si>
  <si>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</si>
  <si>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</si>
  <si>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</si>
  <si>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</si>
  <si>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</si>
  <si>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</si>
  <si>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</si>
  <si>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</si>
  <si>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</si>
  <si>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</si>
  <si>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</si>
  <si>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</si>
  <si>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</si>
  <si>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</si>
  <si>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</si>
  <si>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</si>
  <si>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</si>
  <si>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</si>
  <si>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</si>
  <si>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</si>
  <si>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</si>
  <si>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</si>
  <si>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</si>
  <si>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</si>
  <si>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</si>
  <si>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</si>
  <si>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</si>
  <si>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</si>
  <si>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</si>
  <si>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</si>
  <si>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</si>
  <si>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</si>
  <si>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</si>
  <si>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</si>
  <si>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</si>
  <si>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</si>
  <si>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</si>
  <si>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</si>
  <si>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</si>
  <si>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</si>
  <si>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</si>
  <si>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</si>
  <si>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</si>
  <si>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</si>
  <si>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</si>
  <si>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</si>
  <si>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</si>
  <si>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</si>
  <si>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</si>
  <si>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</si>
  <si>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</si>
  <si>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</si>
  <si>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</si>
  <si>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</si>
  <si>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</si>
  <si>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</si>
  <si>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</si>
  <si>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</si>
  <si>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</si>
  <si>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</si>
  <si>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</si>
  <si>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</si>
  <si>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</si>
  <si>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</si>
  <si>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</si>
  <si>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</si>
  <si>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</si>
  <si>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</si>
  <si>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</si>
  <si>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</si>
  <si>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</si>
  <si>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</si>
  <si>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</si>
  <si>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</si>
  <si>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</si>
  <si>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</si>
  <si>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</si>
  <si>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</si>
  <si>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</si>
  <si>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</si>
  <si>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</si>
  <si>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</si>
  <si>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</si>
  <si>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</si>
  <si>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</si>
  <si>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</si>
  <si>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</si>
  <si>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</si>
  <si>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</si>
  <si>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</si>
  <si>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</si>
  <si>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</si>
  <si>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</si>
  <si>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</si>
  <si>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</si>
  <si>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</si>
  <si>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</si>
  <si>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</si>
  <si>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</si>
  <si>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</si>
  <si>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</si>
  <si>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</si>
  <si>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</si>
  <si>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</si>
  <si>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</si>
  <si>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</si>
  <si>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</si>
  <si>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</si>
  <si>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</si>
  <si>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</si>
  <si>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</si>
  <si>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</si>
  <si>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</si>
  <si>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</si>
  <si>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</si>
  <si>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</si>
  <si>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</si>
  <si>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</si>
  <si>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</si>
  <si>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</si>
  <si>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</si>
  <si>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</si>
  <si>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</si>
  <si>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</si>
  <si>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</si>
  <si>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</si>
  <si>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</si>
  <si>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</si>
  <si>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</si>
  <si>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</si>
  <si>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</si>
  <si>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</si>
  <si>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</si>
  <si>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</si>
  <si>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</si>
  <si>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</si>
  <si>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</si>
  <si>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</si>
  <si>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</si>
  <si>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</si>
  <si>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</si>
  <si>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</si>
  <si>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</si>
  <si>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</si>
  <si>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</si>
  <si>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</si>
  <si>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</si>
  <si>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</si>
  <si>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</si>
  <si>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</si>
  <si>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</si>
  <si>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</si>
  <si>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</si>
  <si>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</si>
  <si>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</si>
  <si>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</si>
  <si>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</si>
  <si>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</si>
  <si>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</si>
  <si>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</si>
  <si>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</si>
  <si>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</si>
  <si>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</si>
  <si>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</si>
  <si>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</si>
  <si>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</si>
  <si>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</si>
  <si>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</si>
  <si>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</si>
  <si>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</si>
  <si>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</si>
  <si>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</si>
  <si>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</si>
  <si>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</si>
  <si>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</si>
  <si>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</si>
  <si>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</si>
  <si>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</si>
  <si>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</si>
  <si>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</si>
  <si>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</si>
  <si>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</si>
  <si>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</si>
  <si>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</si>
  <si>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</si>
  <si>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</si>
  <si>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</si>
  <si>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</si>
  <si>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</si>
  <si>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</si>
  <si>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</si>
  <si>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</si>
  <si>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</si>
  <si>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</si>
  <si>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</si>
  <si>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</si>
  <si>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</si>
  <si>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</si>
  <si>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</si>
  <si>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</si>
  <si>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</si>
  <si>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</si>
  <si>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</si>
  <si>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</si>
  <si>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</si>
  <si>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</si>
  <si>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</si>
  <si>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</si>
  <si>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</si>
  <si>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</si>
  <si>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</si>
  <si>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</si>
  <si>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</si>
  <si>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</si>
  <si>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</si>
  <si>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</si>
  <si>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</si>
  <si>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</si>
  <si>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</si>
  <si>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</si>
  <si>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</si>
  <si>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</si>
  <si>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</si>
  <si>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</si>
  <si>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</si>
  <si>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</si>
  <si>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</si>
  <si>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</si>
  <si>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</si>
  <si>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</si>
  <si>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</si>
  <si>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</si>
  <si>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</si>
  <si>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</si>
  <si>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</si>
  <si>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</si>
  <si>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</si>
  <si>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</si>
  <si>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</si>
  <si>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</si>
  <si>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</si>
  <si>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</si>
  <si>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</si>
  <si>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</si>
  <si>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</si>
  <si>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</si>
  <si>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</si>
  <si>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</si>
  <si>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</si>
  <si>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</si>
  <si>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</si>
  <si>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</si>
  <si>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</si>
  <si>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</si>
  <si>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</si>
  <si>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</si>
  <si>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</si>
  <si>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</si>
  <si>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</si>
  <si>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</si>
  <si>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</si>
  <si>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</si>
  <si>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</si>
  <si>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</si>
  <si>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</si>
  <si>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</si>
  <si>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</si>
  <si>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</si>
  <si>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</si>
  <si>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</si>
  <si>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</si>
  <si>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</si>
  <si>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</si>
  <si>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</si>
  <si>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</si>
  <si>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</si>
  <si>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</si>
  <si>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</si>
  <si>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</si>
  <si>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</si>
  <si>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</si>
  <si>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</si>
  <si>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</si>
  <si>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</si>
  <si>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</si>
  <si>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</si>
  <si>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</si>
  <si>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</si>
  <si>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</si>
  <si>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</si>
  <si>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</si>
  <si>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</si>
  <si>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</si>
  <si>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</si>
  <si>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</si>
  <si>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</si>
  <si>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</si>
  <si>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</si>
  <si>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</si>
  <si>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</si>
  <si>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</si>
  <si>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</si>
  <si>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</si>
  <si>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</si>
  <si>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</si>
  <si>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</si>
  <si>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</si>
  <si>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</si>
  <si>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</si>
  <si>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</si>
  <si>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</si>
  <si>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</si>
  <si>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</si>
  <si>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</si>
  <si>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</si>
  <si>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</si>
  <si>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</si>
  <si>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</si>
  <si>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</si>
  <si>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</si>
  <si>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</si>
  <si>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</si>
  <si>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</si>
  <si>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</si>
  <si>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</si>
  <si>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</si>
  <si>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</si>
  <si>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</si>
  <si>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</si>
  <si>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</si>
  <si>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</si>
  <si>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</si>
  <si>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</si>
  <si>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</si>
  <si>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</si>
  <si>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</si>
  <si>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</si>
  <si>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</si>
  <si>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</si>
  <si>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</si>
  <si>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</si>
  <si>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</si>
  <si>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</si>
  <si>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</si>
  <si>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</si>
  <si>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</si>
  <si>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</si>
  <si>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</si>
  <si>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</si>
  <si>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</si>
  <si>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</si>
  <si>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</si>
  <si>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</si>
  <si>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</si>
  <si>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</si>
  <si>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</si>
  <si>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</si>
  <si>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</si>
  <si>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</si>
  <si>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</si>
  <si>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</si>
  <si>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</si>
  <si>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</si>
  <si>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</si>
  <si>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</si>
  <si>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</si>
  <si>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</si>
  <si>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</si>
  <si>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</si>
  <si>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</si>
  <si>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</si>
  <si>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</si>
  <si>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</si>
  <si>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</si>
  <si>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</si>
  <si>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</si>
  <si>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</si>
  <si>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</si>
  <si>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</si>
  <si>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</si>
  <si>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</si>
  <si>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</si>
  <si>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</si>
  <si>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</si>
  <si>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</si>
  <si>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</si>
  <si>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</si>
  <si>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</si>
  <si>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</si>
  <si>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</si>
  <si>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</si>
  <si>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</si>
  <si>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</si>
  <si>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</si>
  <si>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</si>
  <si>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</si>
  <si>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</si>
  <si>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</si>
  <si>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</si>
  <si>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</si>
  <si>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</si>
  <si>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</si>
  <si>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</si>
  <si>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</si>
  <si>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</si>
  <si>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</si>
  <si>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</si>
  <si>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</si>
  <si>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</si>
  <si>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</si>
  <si>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</si>
  <si>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</si>
  <si>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</si>
  <si>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</si>
  <si>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</si>
  <si>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</si>
  <si>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</si>
  <si>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</si>
  <si>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</si>
  <si>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</si>
  <si>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</si>
  <si>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</si>
  <si>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</si>
  <si>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</si>
  <si>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</si>
  <si>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</si>
  <si>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</si>
  <si>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</si>
  <si>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</si>
  <si>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</si>
  <si>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</si>
  <si>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</si>
  <si>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</si>
  <si>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</si>
  <si>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</si>
  <si>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</si>
  <si>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</si>
  <si>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</si>
  <si>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</si>
  <si>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</si>
  <si>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</si>
  <si>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</si>
  <si>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</si>
  <si>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</si>
  <si>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</si>
  <si>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</si>
  <si>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</si>
  <si>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</si>
  <si>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</si>
  <si>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</si>
  <si>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</si>
  <si>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</si>
  <si>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</si>
  <si>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</si>
  <si>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</si>
  <si>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</si>
  <si>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</si>
  <si>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</si>
  <si>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</si>
  <si>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</si>
  <si>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</si>
  <si>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</si>
  <si>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</si>
  <si>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</si>
  <si>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</si>
  <si>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</si>
  <si>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</si>
  <si>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</si>
  <si>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</si>
  <si>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</si>
  <si>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</si>
  <si>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</si>
  <si>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</si>
  <si>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</si>
  <si>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</si>
  <si>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</si>
  <si>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</si>
  <si>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</si>
  <si>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</si>
  <si>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</si>
  <si>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</si>
  <si>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</si>
  <si>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</si>
  <si>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</si>
  <si>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</si>
  <si>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</si>
  <si>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</si>
  <si>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</si>
  <si>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</si>
  <si>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</si>
  <si>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</si>
  <si>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</si>
  <si>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</si>
  <si>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</si>
  <si>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</si>
  <si>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</si>
  <si>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</si>
  <si>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</si>
  <si>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</si>
  <si>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</si>
  <si>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</si>
  <si>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</si>
  <si>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</si>
  <si>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</si>
  <si>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</si>
  <si>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</si>
  <si>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</si>
  <si>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</si>
  <si>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</si>
  <si>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</si>
  <si>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</si>
  <si>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</si>
  <si>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</si>
  <si>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</si>
  <si>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</si>
  <si>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</si>
  <si>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</si>
  <si>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</si>
  <si>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</si>
  <si>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</si>
  <si>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</si>
  <si>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</si>
  <si>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</si>
  <si>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</si>
  <si>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</si>
  <si>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</si>
  <si>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</si>
  <si>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</si>
  <si>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</si>
  <si>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</si>
  <si>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</si>
  <si>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</si>
  <si>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</si>
  <si>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</si>
  <si>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</si>
  <si>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</si>
  <si>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</si>
  <si>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</si>
  <si>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</si>
  <si>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</si>
  <si>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</si>
  <si>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</si>
  <si>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</si>
  <si>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</si>
  <si>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</si>
  <si>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</si>
  <si>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</si>
  <si>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</si>
  <si>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</si>
  <si>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</si>
  <si>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</si>
  <si>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</si>
  <si>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</si>
  <si>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</si>
  <si>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</si>
  <si>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</si>
  <si>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</si>
  <si>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</si>
  <si>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</si>
  <si>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</si>
  <si>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</si>
  <si>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</si>
  <si>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</si>
  <si>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</si>
  <si>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</si>
  <si>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</si>
  <si>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</si>
  <si>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</si>
  <si>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</si>
  <si>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</si>
  <si>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</si>
  <si>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</si>
  <si>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</si>
  <si>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</si>
  <si>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</si>
  <si>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</si>
  <si>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</si>
  <si>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</si>
  <si>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</si>
  <si>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</si>
  <si>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</si>
  <si>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</si>
  <si>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</si>
  <si>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</si>
  <si>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</si>
  <si>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</si>
  <si>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</si>
  <si>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</si>
  <si>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</si>
  <si>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</si>
  <si>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</si>
  <si>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</si>
  <si>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</si>
  <si>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</si>
  <si>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</si>
  <si>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</si>
  <si>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</si>
  <si>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</si>
  <si>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</si>
  <si>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</si>
  <si>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</si>
  <si>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</si>
  <si>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</si>
  <si>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</si>
  <si>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</si>
  <si>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</si>
  <si>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</si>
  <si>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</si>
  <si>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</si>
  <si>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</si>
  <si>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</si>
  <si>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</si>
  <si>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</si>
  <si>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</si>
  <si>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</si>
  <si>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</si>
  <si>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</si>
  <si>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</si>
  <si>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</si>
  <si>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</si>
  <si>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</si>
  <si>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</si>
  <si>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</si>
  <si>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</si>
  <si>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</si>
  <si>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</si>
  <si>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</si>
  <si>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</si>
  <si>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</si>
  <si>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</si>
  <si>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</si>
  <si>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</si>
  <si>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</si>
  <si>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</si>
  <si>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</si>
  <si>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</si>
  <si>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</si>
  <si>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</si>
  <si>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</si>
  <si>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</si>
  <si>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</si>
  <si>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</si>
  <si>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</si>
  <si>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</si>
  <si>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</si>
  <si>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</si>
  <si>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</si>
  <si>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</si>
  <si>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</si>
  <si>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</si>
  <si>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</si>
  <si>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</si>
  <si>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</si>
  <si>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</si>
  <si>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</si>
  <si>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</si>
  <si>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</si>
  <si>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</si>
  <si>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</si>
  <si>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</si>
  <si>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</si>
  <si>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</si>
  <si>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</si>
  <si>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</si>
  <si>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</si>
  <si>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</si>
  <si>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</si>
  <si>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</si>
  <si>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</si>
  <si>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</si>
  <si>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</si>
  <si>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</si>
  <si>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</si>
  <si>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</si>
  <si>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</si>
  <si>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</si>
  <si>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</si>
  <si>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</si>
  <si>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</si>
  <si>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</si>
  <si>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</si>
  <si>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</si>
  <si>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</si>
  <si>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</si>
  <si>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</si>
  <si>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</si>
  <si>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</si>
  <si>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</si>
  <si>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</si>
  <si>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</si>
  <si>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</si>
  <si>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</si>
  <si>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</si>
  <si>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</si>
  <si>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</si>
  <si>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</si>
  <si>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</si>
  <si>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</si>
  <si>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</si>
  <si>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</si>
  <si>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</si>
  <si>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</si>
  <si>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</si>
  <si>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</si>
  <si>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</si>
  <si>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</si>
  <si>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</si>
  <si>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</si>
  <si>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</si>
  <si>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</si>
  <si>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</si>
  <si>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</si>
  <si>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</si>
  <si>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</si>
  <si>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</si>
  <si>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</si>
  <si>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</si>
  <si>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</si>
  <si>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</si>
  <si>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</si>
  <si>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</si>
  <si>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</si>
  <si>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</si>
  <si>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</si>
  <si>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</si>
  <si>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</si>
  <si>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</si>
  <si>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</si>
  <si>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</si>
  <si>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</si>
  <si>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</si>
  <si>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</si>
  <si>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</si>
  <si>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</si>
  <si>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</si>
  <si>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</si>
  <si>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</si>
  <si>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</si>
  <si>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</si>
  <si>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</si>
  <si>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</si>
  <si>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</si>
  <si>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</si>
  <si>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</si>
  <si>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</si>
  <si>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</si>
  <si>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</si>
  <si>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</si>
  <si>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</si>
  <si>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</si>
  <si>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</si>
  <si>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</si>
  <si>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</si>
  <si>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</si>
  <si>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</si>
  <si>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</si>
  <si>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</si>
  <si>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</si>
  <si>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</si>
  <si>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</si>
  <si>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</si>
  <si>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</si>
  <si>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</si>
  <si>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</si>
  <si>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</si>
  <si>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</si>
  <si>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</si>
  <si>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</si>
  <si>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</si>
  <si>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</si>
  <si>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</si>
  <si>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</si>
  <si>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</si>
  <si>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</si>
  <si>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</si>
  <si>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</si>
  <si>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</si>
  <si>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</si>
  <si>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</si>
  <si>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</si>
  <si>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</si>
  <si>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</si>
  <si>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</si>
  <si>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</si>
  <si>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</si>
  <si>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</si>
  <si>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</si>
  <si>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</si>
  <si>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</si>
  <si>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</si>
  <si>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</si>
  <si>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</si>
  <si>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</si>
  <si>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</si>
  <si>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</si>
  <si>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</si>
  <si>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</si>
  <si>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</si>
  <si>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</si>
  <si>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</si>
  <si>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</si>
  <si>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</si>
  <si>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</si>
  <si>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</si>
  <si>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</si>
  <si>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</si>
  <si>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</si>
  <si>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</si>
  <si>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</si>
  <si>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</si>
  <si>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</si>
  <si>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</si>
  <si>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</si>
  <si>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</si>
  <si>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</si>
  <si>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</si>
  <si>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</si>
  <si>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</si>
  <si>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</si>
  <si>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</si>
  <si>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</si>
  <si>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</si>
  <si>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</si>
  <si>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</si>
  <si>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</si>
  <si>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</si>
  <si>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</si>
  <si>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</si>
  <si>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</si>
  <si>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</si>
  <si>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</si>
  <si>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</si>
  <si>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</si>
  <si>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</si>
  <si>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</si>
  <si>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</si>
  <si>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</si>
  <si>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</si>
  <si>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</si>
  <si>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</si>
  <si>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</si>
  <si>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</si>
  <si>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</si>
  <si>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</si>
  <si>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</si>
  <si>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</si>
  <si>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</si>
  <si>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</si>
  <si>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</si>
  <si>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</si>
  <si>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</si>
  <si>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</si>
  <si>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</si>
  <si>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</si>
  <si>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</si>
  <si>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</si>
  <si>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</si>
  <si>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</si>
  <si>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</si>
  <si>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</si>
  <si>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</si>
  <si>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</si>
  <si>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</si>
  <si>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</si>
  <si>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</si>
  <si>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</si>
  <si>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</si>
  <si>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</si>
  <si>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</si>
  <si>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</si>
  <si>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</si>
  <si>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</si>
  <si>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</si>
  <si>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</si>
  <si>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</si>
  <si>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</si>
  <si>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</si>
  <si>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</si>
  <si>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</si>
  <si>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</si>
  <si>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</si>
  <si>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</si>
  <si>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</si>
  <si>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</si>
  <si>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</si>
  <si>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</si>
  <si>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</si>
  <si>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</si>
  <si>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</si>
  <si>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</si>
  <si>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</si>
  <si>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</si>
  <si>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</si>
  <si>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</si>
  <si>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</si>
  <si>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</si>
  <si>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</si>
  <si>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</si>
  <si>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</si>
  <si>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</si>
  <si>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</si>
  <si>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</si>
  <si>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</si>
  <si>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</si>
  <si>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</si>
  <si>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</si>
  <si>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</si>
  <si>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</si>
  <si>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</si>
  <si>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</si>
  <si>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</si>
  <si>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</si>
  <si>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</si>
  <si>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</si>
  <si>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</si>
  <si>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</si>
  <si>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</si>
  <si>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</si>
  <si>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</si>
  <si>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</si>
  <si>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</si>
  <si>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</si>
  <si>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</si>
  <si>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</si>
  <si>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</si>
  <si>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</si>
  <si>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</si>
  <si>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</si>
  <si>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</si>
  <si>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</si>
  <si>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</si>
  <si>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</si>
  <si>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</si>
  <si>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</si>
  <si>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</si>
  <si>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</si>
  <si>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</si>
  <si>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</si>
  <si>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</si>
  <si>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</si>
  <si>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</si>
  <si>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</si>
  <si>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</si>
  <si>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</si>
  <si>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</si>
  <si>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</si>
  <si>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</si>
  <si>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</si>
  <si>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</si>
  <si>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</si>
  <si>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</si>
  <si>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</si>
  <si>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</si>
  <si>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</si>
  <si>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</si>
  <si>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</si>
  <si>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</si>
  <si>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</si>
  <si>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</si>
  <si>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</si>
  <si>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</si>
  <si>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</si>
  <si>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</si>
  <si>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</si>
  <si>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</si>
  <si>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</si>
  <si>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</si>
  <si>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</si>
  <si>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</si>
  <si>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</si>
  <si>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</si>
  <si>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</si>
  <si>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</si>
  <si>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</si>
  <si>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</si>
  <si>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</si>
  <si>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</si>
  <si>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</si>
  <si>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</si>
  <si>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</si>
  <si>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</si>
  <si>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</si>
  <si>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</si>
  <si>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</si>
  <si>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</si>
  <si>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</si>
  <si>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</si>
  <si>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</si>
  <si>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</si>
  <si>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</si>
  <si>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</si>
  <si>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</si>
  <si>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</si>
  <si>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</si>
  <si>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</si>
  <si>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</si>
  <si>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</si>
  <si>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</si>
  <si>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</si>
  <si>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</si>
  <si>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</si>
  <si>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</si>
  <si>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</si>
  <si>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</si>
  <si>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</si>
  <si>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</si>
  <si>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</si>
  <si>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</si>
  <si>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</si>
  <si>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</si>
  <si>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</si>
  <si>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</si>
  <si>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</si>
  <si>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</si>
  <si>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</si>
  <si>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</si>
  <si>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</si>
  <si>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</si>
  <si>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</si>
  <si>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</si>
  <si>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</si>
  <si>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</si>
  <si>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</si>
  <si>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</si>
  <si>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</si>
  <si>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</si>
  <si>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</si>
  <si>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</si>
  <si>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</si>
  <si>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</si>
  <si>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</si>
  <si>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</si>
  <si>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</si>
  <si>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</si>
  <si>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</si>
  <si>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</si>
  <si>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</si>
  <si>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</si>
  <si>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</si>
  <si>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</si>
  <si>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</si>
  <si>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</si>
  <si>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</si>
  <si>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</si>
  <si>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</si>
  <si>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</si>
  <si>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</si>
  <si>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</si>
  <si>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</si>
  <si>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</si>
  <si>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</si>
  <si>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</si>
  <si>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</si>
  <si>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</si>
  <si>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</si>
  <si>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</si>
  <si>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</si>
  <si>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</si>
  <si>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</si>
  <si>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</si>
  <si>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</si>
  <si>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</si>
  <si>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</si>
  <si>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</si>
  <si>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</si>
  <si>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</si>
  <si>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</si>
  <si>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</si>
  <si>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</si>
  <si>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</si>
  <si>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</si>
  <si>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</si>
  <si>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</si>
  <si>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</si>
  <si>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</si>
  <si>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</si>
  <si>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</si>
  <si>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</si>
  <si>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</si>
  <si>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</si>
  <si>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</si>
  <si>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</si>
  <si>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</si>
  <si>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</si>
  <si>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</si>
  <si>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</si>
  <si>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</si>
  <si>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</si>
  <si>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</si>
  <si>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</si>
  <si>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</si>
  <si>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</si>
  <si>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</si>
  <si>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</si>
  <si>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</si>
  <si>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</si>
  <si>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</si>
  <si>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</si>
  <si>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</si>
  <si>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</si>
  <si>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</si>
  <si>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</si>
  <si>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</si>
  <si>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</si>
  <si>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</si>
  <si>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</si>
  <si>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</si>
  <si>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</si>
  <si>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</si>
  <si>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</si>
  <si>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</si>
  <si>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</si>
  <si>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</si>
  <si>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</si>
  <si>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</si>
  <si>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</si>
  <si>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</si>
  <si>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</si>
  <si>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</si>
  <si>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</si>
  <si>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</si>
  <si>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</si>
  <si>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</si>
  <si>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</si>
  <si>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</si>
  <si>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</si>
  <si>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</si>
  <si>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</si>
  <si>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</si>
  <si>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</si>
  <si>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</si>
  <si>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</si>
  <si>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</si>
  <si>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</si>
  <si>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</si>
  <si>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</si>
  <si>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</si>
  <si>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</si>
  <si>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</si>
  <si>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</si>
  <si>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</si>
  <si>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</si>
  <si>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</si>
  <si>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</si>
  <si>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</si>
  <si>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</si>
  <si>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</si>
  <si>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</si>
  <si>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</si>
  <si>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</si>
  <si>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</si>
  <si>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</si>
  <si>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</si>
  <si>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</si>
  <si>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</si>
  <si>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</si>
  <si>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</si>
  <si>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</si>
  <si>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</si>
  <si>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</si>
  <si>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</si>
  <si>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</si>
  <si>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</si>
  <si>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</si>
  <si>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</si>
  <si>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</si>
  <si>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</si>
  <si>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</si>
  <si>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</si>
  <si>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</si>
  <si>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</si>
  <si>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</si>
  <si>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</si>
  <si>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</si>
  <si>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</si>
  <si>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</si>
  <si>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</si>
  <si>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</si>
  <si>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</si>
  <si>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</si>
  <si>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</si>
  <si>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</si>
  <si>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</si>
  <si>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</si>
  <si>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</si>
  <si>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</si>
  <si>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</si>
  <si>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</si>
  <si>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</si>
  <si>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</si>
  <si>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</si>
  <si>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</si>
  <si>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</si>
  <si>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</si>
  <si>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</si>
  <si>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</si>
  <si>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</si>
  <si>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</si>
  <si>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</si>
  <si>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</si>
  <si>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</si>
  <si>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</si>
  <si>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</si>
  <si>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</si>
  <si>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</si>
  <si>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</si>
  <si>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</si>
  <si>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</si>
  <si>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</si>
  <si>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</si>
  <si>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</si>
  <si>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</si>
  <si>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</si>
  <si>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</si>
  <si>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</si>
  <si>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</si>
  <si>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</si>
  <si>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</si>
  <si>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</si>
  <si>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</si>
  <si>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</si>
  <si>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</si>
  <si>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</si>
  <si>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</si>
  <si>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</si>
  <si>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</si>
  <si>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</si>
  <si>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</si>
  <si>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</si>
  <si>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</si>
  <si>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</si>
  <si>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</si>
  <si>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</si>
  <si>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</si>
  <si>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</si>
  <si>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</si>
  <si>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</si>
  <si>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</si>
  <si>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</si>
  <si>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</si>
  <si>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</si>
  <si>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</si>
  <si>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</si>
  <si>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</si>
  <si>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</si>
  <si>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</si>
  <si>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</si>
  <si>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</si>
  <si>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</si>
  <si>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</si>
  <si>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</si>
  <si>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</si>
  <si>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</si>
  <si>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</si>
  <si>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</si>
  <si>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</si>
  <si>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</si>
  <si>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</si>
  <si>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</si>
  <si>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</si>
  <si>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</si>
  <si>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</si>
  <si>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</si>
  <si>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</si>
  <si>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</si>
  <si>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</si>
  <si>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</si>
  <si>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</si>
  <si>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</si>
  <si>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</si>
  <si>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</si>
  <si>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</si>
  <si>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</si>
  <si>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</si>
  <si>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</si>
  <si>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</si>
  <si>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</si>
  <si>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</si>
  <si>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</si>
  <si>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</si>
  <si>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</si>
  <si>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</si>
  <si>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</si>
  <si>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</si>
  <si>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</si>
  <si>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</si>
  <si>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</si>
  <si>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</si>
  <si>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</si>
  <si>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</si>
  <si>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</si>
  <si>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</si>
  <si>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</si>
  <si>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</si>
  <si>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</si>
  <si>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</si>
  <si>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</si>
  <si>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</si>
  <si>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</si>
  <si>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</si>
  <si>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</si>
  <si>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</si>
  <si>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</si>
  <si>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</si>
  <si>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</si>
  <si>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</si>
  <si>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</si>
  <si>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</si>
  <si>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</si>
  <si>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</si>
  <si>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</si>
  <si>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</si>
  <si>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</si>
  <si>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</si>
  <si>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</si>
  <si>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</si>
  <si>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</si>
  <si>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</si>
  <si>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</si>
  <si>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</si>
  <si>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</si>
  <si>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</si>
  <si>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</si>
  <si>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</si>
  <si>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</si>
  <si>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</si>
  <si>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</si>
  <si>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</si>
  <si>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</si>
  <si>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</si>
  <si>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</si>
  <si>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</si>
  <si>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</si>
  <si>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</si>
  <si>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</si>
  <si>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</si>
  <si>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</si>
  <si>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</si>
  <si>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</si>
  <si>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</si>
  <si>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</si>
  <si>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</si>
  <si>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</si>
  <si>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</si>
  <si>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</si>
  <si>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</si>
  <si>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</si>
  <si>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</si>
  <si>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</si>
  <si>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</si>
  <si>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</si>
  <si>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</si>
  <si>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</si>
  <si>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</si>
  <si>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</si>
  <si>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</si>
  <si>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</si>
  <si>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</si>
  <si>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</si>
  <si>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</si>
  <si>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</si>
  <si>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</si>
  <si>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</si>
  <si>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</si>
  <si>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</si>
  <si>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</si>
  <si>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</si>
  <si>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</si>
  <si>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</si>
  <si>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</si>
  <si>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</si>
  <si>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</si>
  <si>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</si>
  <si>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</si>
  <si>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</si>
  <si>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</si>
  <si>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</si>
  <si>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</si>
  <si>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</si>
  <si>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</si>
  <si>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</si>
  <si>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</si>
  <si>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</si>
  <si>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</si>
  <si>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</si>
  <si>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</si>
  <si>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</si>
  <si>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</si>
  <si>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</si>
  <si>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</si>
  <si>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</si>
  <si>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</si>
  <si>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</si>
  <si>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</si>
  <si>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</si>
  <si>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</si>
  <si>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</si>
  <si>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</si>
  <si>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</si>
  <si>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</si>
  <si>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</si>
  <si>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</si>
  <si>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</si>
  <si>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</si>
  <si>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</si>
  <si>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</si>
  <si>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</si>
  <si>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</si>
  <si>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</si>
  <si>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</si>
  <si>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</si>
  <si>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</si>
  <si>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</si>
  <si>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</si>
  <si>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</si>
  <si>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</si>
  <si>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</si>
  <si>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</si>
  <si>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</si>
  <si>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</si>
  <si>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</si>
  <si>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</si>
  <si>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</si>
  <si>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</si>
  <si>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</si>
  <si>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</si>
  <si>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</si>
  <si>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</si>
  <si>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</si>
  <si>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</si>
  <si>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</si>
  <si>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</si>
  <si>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</si>
  <si>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</si>
  <si>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</si>
  <si>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</si>
  <si>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</si>
  <si>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</si>
  <si>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</si>
  <si>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</si>
  <si>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</si>
  <si>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</si>
  <si>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</si>
  <si>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</si>
  <si>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</si>
  <si>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</si>
  <si>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</si>
  <si>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</si>
  <si>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</si>
  <si>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</si>
  <si>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</si>
  <si>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</si>
  <si>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</si>
  <si>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</si>
  <si>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</si>
  <si>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</si>
  <si>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</si>
  <si>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</si>
  <si>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</si>
  <si>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</si>
  <si>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</si>
  <si>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</si>
  <si>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</si>
  <si>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</si>
  <si>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</si>
  <si>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</si>
  <si>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</si>
  <si>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</si>
  <si>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</si>
  <si>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</si>
  <si>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</si>
  <si>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</si>
  <si>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</si>
  <si>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</si>
  <si>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</si>
  <si>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</si>
  <si>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</si>
  <si>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</si>
  <si>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</si>
  <si>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</si>
  <si>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</si>
  <si>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</si>
  <si>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</si>
  <si>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</si>
  <si>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</si>
  <si>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</si>
  <si>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</si>
  <si>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</si>
  <si>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</si>
  <si>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</si>
  <si>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</si>
  <si>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</si>
  <si>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</si>
  <si>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</si>
  <si>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</si>
  <si>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</si>
  <si>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</si>
  <si>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</si>
  <si>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</si>
  <si>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</si>
  <si>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</si>
  <si>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</si>
  <si>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</si>
  <si>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</si>
  <si>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</si>
  <si>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</si>
  <si>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</si>
  <si>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</si>
  <si>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</si>
  <si>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</si>
  <si>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</si>
  <si>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</si>
  <si>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</si>
  <si>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</si>
  <si>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</si>
  <si>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</si>
  <si>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</si>
  <si>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</si>
  <si>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</si>
  <si>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</si>
  <si>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</si>
  <si>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</si>
  <si>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</si>
  <si>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</si>
  <si>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</si>
  <si>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</si>
  <si>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</si>
  <si>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</si>
  <si>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</si>
  <si>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</si>
  <si>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</si>
  <si>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</si>
  <si>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</si>
  <si>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</si>
  <si>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</si>
  <si>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</si>
  <si>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</si>
  <si>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</si>
  <si>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</si>
  <si>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</si>
  <si>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</si>
  <si>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</si>
  <si>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</si>
  <si>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</si>
  <si>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</si>
  <si>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</si>
  <si>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</si>
  <si>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</si>
  <si>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</si>
  <si>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</si>
  <si>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</si>
  <si>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</si>
  <si>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</si>
  <si>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</si>
  <si>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</si>
  <si>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</si>
  <si>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</si>
  <si>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</si>
  <si>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</si>
  <si>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</si>
  <si>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</si>
  <si>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</si>
  <si>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</si>
  <si>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</si>
  <si>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</si>
  <si>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</si>
  <si>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</si>
  <si>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</si>
  <si>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</si>
  <si>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</si>
  <si>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</si>
  <si>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</si>
  <si>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</si>
  <si>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</si>
  <si>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</si>
  <si>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</si>
  <si>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</si>
  <si>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</si>
  <si>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</si>
  <si>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</si>
  <si>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</si>
  <si>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</si>
  <si>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</si>
  <si>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</si>
  <si>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</si>
  <si>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</si>
  <si>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</si>
  <si>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</si>
  <si>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</si>
  <si>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</si>
  <si>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</si>
  <si>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</si>
  <si>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</si>
  <si>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</si>
  <si>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</si>
  <si>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</si>
  <si>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</si>
  <si>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</si>
  <si>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</si>
  <si>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</si>
  <si>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</si>
  <si>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</si>
  <si>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</si>
  <si>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</si>
  <si>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</si>
  <si>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</si>
  <si>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</si>
  <si>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</si>
  <si>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</si>
  <si>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</si>
  <si>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</si>
  <si>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</si>
  <si>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</si>
  <si>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</si>
  <si>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</si>
  <si>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</si>
  <si>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</si>
  <si>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</si>
  <si>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</si>
  <si>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</si>
  <si>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</si>
  <si>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</si>
  <si>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</si>
  <si>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</si>
  <si>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</si>
  <si>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</si>
  <si>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</si>
  <si>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</si>
  <si>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</si>
  <si>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</si>
  <si>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</si>
  <si>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</si>
  <si>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</si>
  <si>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</si>
  <si>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</si>
  <si>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</si>
  <si>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</si>
  <si>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</si>
  <si>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</si>
  <si>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</si>
  <si>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</si>
  <si>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</si>
  <si>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</si>
  <si>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</si>
  <si>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</si>
  <si>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</si>
  <si>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</si>
  <si>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</si>
  <si>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</si>
  <si>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</si>
  <si>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</si>
  <si>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</si>
  <si>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</si>
  <si>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</si>
  <si>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</si>
  <si>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</si>
  <si>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</si>
  <si>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</si>
  <si>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</si>
  <si>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</si>
  <si>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</si>
  <si>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</si>
  <si>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</si>
  <si>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</si>
  <si>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</si>
  <si>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</si>
  <si>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</si>
  <si>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</si>
  <si>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</si>
  <si>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</si>
  <si>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</si>
  <si>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</si>
  <si>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</si>
  <si>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</si>
  <si>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</si>
  <si>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</si>
  <si>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</si>
  <si>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</si>
  <si>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</si>
  <si>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</si>
  <si>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</si>
  <si>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</si>
  <si>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</si>
  <si>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</si>
  <si>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</si>
  <si>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</si>
  <si>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</si>
  <si>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</si>
  <si>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</si>
  <si>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</si>
  <si>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</si>
  <si>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</si>
  <si>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</si>
  <si>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</si>
  <si>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</si>
  <si>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</si>
  <si>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</si>
  <si>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</si>
  <si>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</si>
  <si>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</si>
  <si>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</si>
  <si>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</si>
  <si>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</si>
  <si>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</si>
  <si>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</si>
  <si>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</si>
  <si>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</si>
  <si>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</si>
  <si>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</si>
  <si>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</si>
  <si>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</si>
  <si>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</si>
  <si>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</si>
  <si>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</si>
  <si>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</si>
  <si>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</si>
  <si>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</si>
  <si>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</si>
  <si>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</si>
  <si>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</si>
  <si>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</si>
  <si>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</si>
  <si>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</si>
  <si>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</si>
  <si>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</si>
  <si>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</si>
  <si>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</si>
  <si>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</si>
  <si>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</si>
  <si>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</si>
  <si>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</si>
  <si>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</si>
  <si>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</si>
  <si>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</si>
  <si>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</si>
  <si>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</si>
  <si>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</si>
  <si>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</si>
  <si>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</si>
  <si>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</si>
  <si>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</si>
  <si>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</si>
  <si>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</si>
  <si>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</si>
  <si>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</si>
  <si>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</si>
  <si>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</si>
  <si>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</si>
  <si>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</si>
  <si>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</si>
  <si>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</si>
  <si>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</si>
  <si>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</si>
  <si>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</si>
  <si>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</si>
  <si>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</si>
  <si>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</si>
  <si>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</si>
  <si>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</si>
  <si>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</si>
  <si>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</si>
  <si>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</si>
  <si>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</si>
  <si>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</si>
  <si>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</si>
  <si>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</si>
  <si>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</si>
  <si>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</si>
  <si>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</si>
  <si>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</si>
  <si>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</si>
  <si>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</si>
  <si>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</si>
  <si>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</si>
  <si>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</si>
  <si>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</si>
  <si>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</si>
  <si>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</si>
  <si>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</si>
  <si>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</si>
  <si>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</si>
  <si>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</si>
  <si>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</si>
  <si>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</si>
  <si>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</si>
  <si>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</si>
  <si>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</si>
  <si>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</si>
  <si>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</si>
  <si>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</si>
  <si>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</si>
  <si>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</si>
  <si>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</si>
  <si>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</si>
  <si>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</si>
  <si>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</si>
  <si>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</si>
  <si>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</si>
  <si>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</si>
  <si>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</si>
  <si>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</si>
  <si>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</si>
  <si>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</si>
  <si>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</si>
  <si>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</si>
  <si>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</si>
  <si>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</si>
  <si>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</si>
  <si>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</si>
  <si>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</si>
  <si>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</si>
  <si>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</si>
  <si>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</si>
  <si>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</si>
  <si>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</si>
  <si>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</si>
  <si>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</si>
  <si>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</si>
  <si>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</si>
  <si>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</si>
  <si>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</si>
  <si>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</si>
  <si>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</si>
  <si>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</si>
  <si>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</si>
  <si>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</si>
  <si>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</si>
  <si>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</si>
  <si>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</si>
  <si>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</si>
  <si>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</si>
  <si>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</si>
  <si>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</si>
  <si>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</si>
  <si>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</si>
  <si>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</si>
  <si>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</si>
  <si>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</si>
  <si>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</si>
  <si>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</si>
  <si>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</si>
  <si>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</si>
  <si>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</si>
  <si>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</si>
  <si>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</si>
  <si>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</si>
  <si>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</si>
  <si>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</si>
  <si>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</si>
  <si>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</si>
  <si>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</si>
  <si>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</si>
  <si>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</si>
  <si>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</si>
  <si>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</si>
  <si>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</si>
  <si>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</si>
  <si>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</si>
  <si>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</si>
  <si>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Inova Semiconductors GmbH</t>
  </si>
  <si>
    <t>Walter Nissl</t>
  </si>
  <si>
    <t>WNissl@inova-semiconductors.de</t>
  </si>
  <si>
    <t>+49 89 / 45 74 75 - 768</t>
  </si>
  <si>
    <t>Malte Leisner</t>
  </si>
  <si>
    <t>MLeisner@inova-semiconductors.de</t>
  </si>
  <si>
    <t>QM Pilot Process 5.1.2 Conflict Minerals Compliance</t>
  </si>
  <si>
    <t xml:space="preserve">Per RMI RCOI data. The related smelters are all validated  RMI compliant, conflict-free smelters. </t>
  </si>
  <si>
    <t>Per RMI RCOI data</t>
  </si>
  <si>
    <t>Upstream suppliers have indicated they have identified all smelters or refiners.</t>
  </si>
  <si>
    <t xml:space="preserve">Entities listed are recognized by RMI as smelters or refiners (all areRMI listed).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</si>
</sst>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 #,##0_-;\-* #,##0_-;_-* &quot;-&quot;_-;_-@_-"/>
    <numFmt numFmtId="165" formatCode="_-* #,##0.00_-;\-* #,##0.00_-;_-*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7" fontId="10" fillId="0" borderId="0" applyFont="0" applyFill="0" applyBorder="0" applyAlignment="0" applyProtection="0"/>
    <xf numFmtId="164" fontId="10" fillId="0" borderId="0" applyFont="0" applyFill="0" applyBorder="0" applyAlignment="0" applyProtection="0"/>
    <xf numFmtId="41"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70" fontId="2" fillId="0" borderId="0"/>
    <xf numFmtId="0" fontId="90" fillId="0" borderId="0"/>
    <xf numFmtId="0" fontId="90" fillId="0" borderId="0"/>
    <xf numFmtId="17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70" fontId="2" fillId="0" borderId="0"/>
    <xf numFmtId="0" fontId="7" fillId="0" borderId="0"/>
    <xf numFmtId="170" fontId="90" fillId="0" borderId="0"/>
    <xf numFmtId="0" fontId="55" fillId="0" borderId="0"/>
    <xf numFmtId="0" fontId="55" fillId="0" borderId="0"/>
    <xf numFmtId="170" fontId="7" fillId="0" borderId="0"/>
    <xf numFmtId="0" fontId="55" fillId="0" borderId="0"/>
    <xf numFmtId="0" fontId="7" fillId="0" borderId="0"/>
    <xf numFmtId="0" fontId="55" fillId="0" borderId="0"/>
    <xf numFmtId="0" fontId="72" fillId="0" borderId="0">
      <alignment vertical="center"/>
    </xf>
    <xf numFmtId="17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70" fontId="2" fillId="0" borderId="0"/>
    <xf numFmtId="17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70" fontId="10" fillId="0" borderId="0"/>
    <xf numFmtId="0" fontId="90" fillId="0" borderId="0"/>
    <xf numFmtId="0" fontId="90" fillId="0" borderId="0"/>
    <xf numFmtId="0" fontId="90" fillId="0" borderId="0"/>
    <xf numFmtId="170" fontId="90" fillId="0" borderId="0"/>
    <xf numFmtId="0" fontId="1" fillId="0" borderId="0"/>
  </cellStyleXfs>
  <cellXfs count="46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70"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7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2"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7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70" fontId="0" fillId="33" borderId="13" xfId="0" applyNumberFormat="1" applyFont="1" applyFill="1" applyBorder="1" applyAlignment="1">
      <alignment vertical="top" wrapText="1"/>
    </xf>
    <xf numFmtId="170" fontId="0" fillId="33" borderId="0" xfId="0" applyNumberFormat="1" applyFont="1" applyFill="1" applyBorder="1" applyAlignment="1"/>
    <xf numFmtId="170" fontId="9" fillId="33" borderId="0" xfId="0" applyNumberFormat="1" applyFont="1" applyFill="1" applyBorder="1"/>
    <xf numFmtId="170" fontId="14" fillId="33" borderId="0" xfId="0" applyNumberFormat="1" applyFont="1" applyFill="1" applyBorder="1" applyAlignment="1">
      <alignment horizontal="center" vertical="center" wrapText="1"/>
    </xf>
    <xf numFmtId="170" fontId="11" fillId="33" borderId="0" xfId="0" applyNumberFormat="1" applyFont="1" applyFill="1" applyBorder="1" applyAlignment="1">
      <alignment horizontal="center" vertical="center"/>
    </xf>
    <xf numFmtId="170" fontId="0" fillId="33" borderId="0" xfId="0" applyNumberFormat="1" applyFont="1" applyFill="1" applyBorder="1"/>
    <xf numFmtId="170" fontId="27" fillId="33" borderId="20"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2"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70" fontId="53" fillId="0" borderId="0" xfId="480" applyFont="1" applyFill="1" applyAlignment="1">
      <alignment horizontal="left" vertical="top" wrapText="1"/>
    </xf>
    <xf numFmtId="170"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70"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70"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70" fontId="53" fillId="0" borderId="0" xfId="480" applyFont="1" applyFill="1" applyBorder="1" applyAlignment="1">
      <alignment vertical="top" wrapText="1"/>
    </xf>
    <xf numFmtId="0" fontId="94" fillId="0" borderId="0" xfId="0" applyFont="1"/>
    <xf numFmtId="170"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70"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0" xfId="0"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70" fontId="25" fillId="0" borderId="48" xfId="570" applyNumberFormat="1" applyFont="1" applyFill="1" applyBorder="1" applyAlignment="1">
      <alignment horizontal="center" vertical="top" wrapText="1"/>
    </xf>
    <xf numFmtId="170" fontId="25" fillId="0" borderId="49" xfId="570" applyNumberFormat="1" applyFont="1" applyFill="1" applyBorder="1" applyAlignment="1">
      <alignment horizontal="center" vertical="top" wrapText="1"/>
    </xf>
    <xf numFmtId="170"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70" fontId="25" fillId="33" borderId="48" xfId="570" applyNumberFormat="1" applyFont="1" applyFill="1" applyBorder="1" applyAlignment="1">
      <alignment horizontal="center" vertical="top" wrapText="1"/>
    </xf>
    <xf numFmtId="170" fontId="25" fillId="33" borderId="49" xfId="570" applyNumberFormat="1" applyFont="1" applyFill="1" applyBorder="1" applyAlignment="1">
      <alignment horizontal="center" vertical="top" wrapText="1"/>
    </xf>
    <xf numFmtId="17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71" fontId="14" fillId="33" borderId="34" xfId="0" applyNumberFormat="1" applyFont="1" applyFill="1" applyBorder="1" applyAlignment="1" applyProtection="1">
      <alignment horizontal="center" wrapText="1"/>
      <protection locked="0"/>
    </xf>
    <xf numFmtId="171"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1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WNissl@inova-semiconductors.de"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MLeisner@inova-semiconductors.de"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baseColWidth="10"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76"/>
      <c r="B2" s="38" t="s">
        <v>847</v>
      </c>
      <c r="C2" s="36"/>
      <c r="D2" s="206"/>
      <c r="E2" s="3"/>
      <c r="F2" s="36"/>
      <c r="G2" s="34"/>
    </row>
    <row r="3" spans="1:7">
      <c r="A3" s="376"/>
      <c r="B3" s="5" t="s">
        <v>839</v>
      </c>
      <c r="C3" s="6"/>
      <c r="D3" s="207"/>
      <c r="E3" s="3"/>
      <c r="F3" s="6"/>
      <c r="G3" s="34"/>
    </row>
    <row r="4" spans="1:7" ht="15.75">
      <c r="A4" s="376"/>
      <c r="B4" s="41" t="s">
        <v>849</v>
      </c>
      <c r="C4" s="7"/>
      <c r="D4" s="208"/>
      <c r="E4" s="3"/>
      <c r="F4" s="7"/>
      <c r="G4" s="34"/>
    </row>
    <row r="5" spans="1:7">
      <c r="A5" s="376"/>
      <c r="B5" s="40" t="s">
        <v>1040</v>
      </c>
      <c r="C5" s="4"/>
      <c r="D5" s="209"/>
      <c r="E5" s="3"/>
      <c r="F5" s="4"/>
      <c r="G5" s="34"/>
    </row>
    <row r="6" spans="1:7">
      <c r="A6" s="376"/>
      <c r="B6" s="8"/>
      <c r="C6" s="8"/>
      <c r="D6" s="210"/>
      <c r="E6" s="8"/>
      <c r="F6" s="8"/>
      <c r="G6" s="34"/>
    </row>
    <row r="7" spans="1:7">
      <c r="A7" s="376"/>
      <c r="B7" s="8"/>
      <c r="C7" s="8"/>
      <c r="D7" s="210"/>
      <c r="E7" s="8"/>
      <c r="F7" s="8"/>
      <c r="G7" s="34"/>
    </row>
    <row r="8" spans="1:7">
      <c r="A8" s="376"/>
      <c r="B8" s="8"/>
      <c r="C8" s="8"/>
      <c r="D8" s="210"/>
      <c r="E8" s="8"/>
      <c r="F8" s="8"/>
      <c r="G8" s="34"/>
    </row>
    <row r="9" spans="1:7">
      <c r="A9" s="376"/>
      <c r="B9" s="379" t="s">
        <v>850</v>
      </c>
      <c r="C9" s="379"/>
      <c r="D9" s="379"/>
      <c r="E9" s="379"/>
      <c r="F9" s="379"/>
      <c r="G9" s="34"/>
    </row>
    <row r="10" spans="1:7" ht="27" customHeight="1">
      <c r="A10" s="376"/>
      <c r="B10" s="380" t="s">
        <v>438</v>
      </c>
      <c r="C10" s="380"/>
      <c r="D10" s="380"/>
      <c r="E10" s="380"/>
      <c r="F10" s="380"/>
      <c r="G10" s="34"/>
    </row>
    <row r="11" spans="1:7" ht="27" customHeight="1">
      <c r="A11" s="376"/>
      <c r="B11" s="381"/>
      <c r="C11" s="381"/>
      <c r="D11" s="381"/>
      <c r="E11" s="381"/>
      <c r="F11" s="381"/>
      <c r="G11" s="34"/>
    </row>
    <row r="12" spans="1:7">
      <c r="A12" s="376"/>
      <c r="B12" s="42" t="s">
        <v>848</v>
      </c>
      <c r="C12" s="43" t="s">
        <v>851</v>
      </c>
      <c r="D12" s="211" t="s">
        <v>852</v>
      </c>
      <c r="E12" s="43" t="s">
        <v>612</v>
      </c>
      <c r="F12" s="43" t="s">
        <v>613</v>
      </c>
      <c r="G12" s="34"/>
    </row>
    <row r="13" spans="1:7" ht="33.75">
      <c r="A13" s="376"/>
      <c r="B13" s="2">
        <v>1</v>
      </c>
      <c r="C13" s="37" t="s">
        <v>1088</v>
      </c>
      <c r="D13" s="39" t="s">
        <v>876</v>
      </c>
      <c r="E13" s="194" t="s">
        <v>853</v>
      </c>
      <c r="F13" s="194"/>
      <c r="G13" s="34"/>
    </row>
    <row r="14" spans="1:7" ht="33.75">
      <c r="A14" s="376"/>
      <c r="B14" s="2">
        <v>2</v>
      </c>
      <c r="C14" s="37" t="s">
        <v>1088</v>
      </c>
      <c r="D14" s="39" t="s">
        <v>1025</v>
      </c>
      <c r="E14" s="194" t="s">
        <v>530</v>
      </c>
      <c r="F14" s="194" t="s">
        <v>531</v>
      </c>
      <c r="G14" s="34"/>
    </row>
    <row r="15" spans="1:7" ht="89.1" customHeight="1">
      <c r="A15" s="376"/>
      <c r="B15" s="361">
        <v>2.0099999999999998</v>
      </c>
      <c r="C15" s="373" t="s">
        <v>1088</v>
      </c>
      <c r="D15" s="382" t="s">
        <v>2265</v>
      </c>
      <c r="E15" s="195" t="s">
        <v>614</v>
      </c>
      <c r="F15" s="195" t="s">
        <v>617</v>
      </c>
      <c r="G15" s="34"/>
    </row>
    <row r="16" spans="1:7" ht="99" customHeight="1">
      <c r="A16" s="376"/>
      <c r="B16" s="362"/>
      <c r="C16" s="374"/>
      <c r="D16" s="383"/>
      <c r="E16" s="196"/>
      <c r="F16" s="196" t="s">
        <v>615</v>
      </c>
      <c r="G16" s="34"/>
    </row>
    <row r="17" spans="1:7" ht="63" customHeight="1">
      <c r="A17" s="376"/>
      <c r="B17" s="363"/>
      <c r="C17" s="375"/>
      <c r="D17" s="384"/>
      <c r="E17" s="37"/>
      <c r="F17" s="37" t="s">
        <v>616</v>
      </c>
      <c r="G17" s="34"/>
    </row>
    <row r="18" spans="1:7" ht="117" customHeight="1">
      <c r="A18" s="376"/>
      <c r="B18" s="361">
        <v>2.02</v>
      </c>
      <c r="C18" s="373" t="s">
        <v>1088</v>
      </c>
      <c r="D18" s="382" t="s">
        <v>2266</v>
      </c>
      <c r="E18" s="195" t="s">
        <v>439</v>
      </c>
      <c r="F18" s="195" t="s">
        <v>525</v>
      </c>
      <c r="G18" s="34"/>
    </row>
    <row r="19" spans="1:7" ht="71.099999999999994" customHeight="1">
      <c r="A19" s="376"/>
      <c r="B19" s="362"/>
      <c r="C19" s="374"/>
      <c r="D19" s="383"/>
      <c r="E19" s="196" t="s">
        <v>529</v>
      </c>
      <c r="F19" s="196" t="s">
        <v>440</v>
      </c>
      <c r="G19" s="34"/>
    </row>
    <row r="20" spans="1:7" ht="90.75" customHeight="1">
      <c r="A20" s="376"/>
      <c r="B20" s="362"/>
      <c r="C20" s="374"/>
      <c r="D20" s="383"/>
      <c r="E20" s="196"/>
      <c r="F20" s="196" t="s">
        <v>619</v>
      </c>
      <c r="G20" s="34"/>
    </row>
    <row r="21" spans="1:7" ht="74.25" customHeight="1">
      <c r="A21" s="376"/>
      <c r="B21" s="363"/>
      <c r="C21" s="375"/>
      <c r="D21" s="384"/>
      <c r="E21" s="37"/>
      <c r="F21" s="37" t="s">
        <v>618</v>
      </c>
      <c r="G21" s="34"/>
    </row>
    <row r="22" spans="1:7" ht="90" customHeight="1">
      <c r="A22" s="376"/>
      <c r="B22" s="367">
        <v>2.0299999999999998</v>
      </c>
      <c r="C22" s="367" t="s">
        <v>822</v>
      </c>
      <c r="D22" s="370" t="s">
        <v>2267</v>
      </c>
      <c r="E22" s="373" t="s">
        <v>437</v>
      </c>
      <c r="F22" s="195" t="s">
        <v>460</v>
      </c>
      <c r="G22" s="34"/>
    </row>
    <row r="23" spans="1:7" ht="109.5" customHeight="1">
      <c r="A23" s="376"/>
      <c r="B23" s="368"/>
      <c r="C23" s="368"/>
      <c r="D23" s="371"/>
      <c r="E23" s="374"/>
      <c r="F23" s="196" t="s">
        <v>823</v>
      </c>
      <c r="G23" s="34"/>
    </row>
    <row r="24" spans="1:7" ht="74.25" customHeight="1">
      <c r="A24" s="376"/>
      <c r="B24" s="369"/>
      <c r="C24" s="369"/>
      <c r="D24" s="372"/>
      <c r="E24" s="375"/>
      <c r="F24" s="37" t="s">
        <v>436</v>
      </c>
      <c r="G24" s="34"/>
    </row>
    <row r="25" spans="1:7" ht="72" customHeight="1">
      <c r="A25" s="376"/>
      <c r="B25" s="2" t="s">
        <v>458</v>
      </c>
      <c r="C25" s="37" t="s">
        <v>459</v>
      </c>
      <c r="D25" s="39" t="s">
        <v>2268</v>
      </c>
      <c r="E25" s="37" t="s">
        <v>2263</v>
      </c>
      <c r="F25" s="37" t="s">
        <v>461</v>
      </c>
      <c r="G25" s="34"/>
    </row>
    <row r="26" spans="1:7" ht="98.1" customHeight="1">
      <c r="A26" s="376"/>
      <c r="B26" s="364">
        <v>3</v>
      </c>
      <c r="C26" s="361" t="s">
        <v>70</v>
      </c>
      <c r="D26" s="382" t="s">
        <v>2269</v>
      </c>
      <c r="E26" s="373" t="s">
        <v>0</v>
      </c>
      <c r="F26" s="195" t="s">
        <v>64</v>
      </c>
      <c r="G26" s="34"/>
    </row>
    <row r="27" spans="1:7" ht="90" customHeight="1">
      <c r="A27" s="376"/>
      <c r="B27" s="365"/>
      <c r="C27" s="362"/>
      <c r="D27" s="383"/>
      <c r="E27" s="374"/>
      <c r="F27" s="196" t="s">
        <v>59</v>
      </c>
      <c r="G27" s="34"/>
    </row>
    <row r="28" spans="1:7" ht="19.350000000000001" customHeight="1">
      <c r="A28" s="376"/>
      <c r="B28" s="365"/>
      <c r="C28" s="362"/>
      <c r="D28" s="383"/>
      <c r="E28" s="374"/>
      <c r="F28" s="196" t="s">
        <v>60</v>
      </c>
      <c r="G28" s="34"/>
    </row>
    <row r="29" spans="1:7" ht="74.45" customHeight="1">
      <c r="A29" s="376"/>
      <c r="B29" s="365"/>
      <c r="C29" s="362"/>
      <c r="D29" s="383"/>
      <c r="E29" s="374"/>
      <c r="F29" s="196" t="s">
        <v>61</v>
      </c>
      <c r="G29" s="34"/>
    </row>
    <row r="30" spans="1:7" ht="62.45" customHeight="1">
      <c r="A30" s="376"/>
      <c r="B30" s="365"/>
      <c r="C30" s="362"/>
      <c r="D30" s="383"/>
      <c r="E30" s="374"/>
      <c r="F30" s="196" t="s">
        <v>62</v>
      </c>
      <c r="G30" s="34"/>
    </row>
    <row r="31" spans="1:7" ht="81" customHeight="1">
      <c r="A31" s="376"/>
      <c r="B31" s="365"/>
      <c r="C31" s="362"/>
      <c r="D31" s="383"/>
      <c r="E31" s="374"/>
      <c r="F31" s="196" t="s">
        <v>63</v>
      </c>
      <c r="G31" s="34"/>
    </row>
    <row r="32" spans="1:7" ht="48.75" customHeight="1">
      <c r="A32" s="376"/>
      <c r="B32" s="365"/>
      <c r="C32" s="362"/>
      <c r="D32" s="383"/>
      <c r="E32" s="374"/>
      <c r="F32" s="196" t="s">
        <v>66</v>
      </c>
      <c r="G32" s="34"/>
    </row>
    <row r="33" spans="1:7" ht="98.45" customHeight="1">
      <c r="A33" s="376"/>
      <c r="B33" s="365"/>
      <c r="C33" s="362"/>
      <c r="D33" s="383"/>
      <c r="E33" s="374"/>
      <c r="F33" s="196" t="s">
        <v>65</v>
      </c>
      <c r="G33" s="34"/>
    </row>
    <row r="34" spans="1:7" ht="89.1" customHeight="1">
      <c r="A34" s="376"/>
      <c r="B34" s="365"/>
      <c r="C34" s="362"/>
      <c r="D34" s="383"/>
      <c r="E34" s="374"/>
      <c r="F34" s="196" t="s">
        <v>67</v>
      </c>
      <c r="G34" s="34"/>
    </row>
    <row r="35" spans="1:7" ht="29.1" customHeight="1">
      <c r="A35" s="376"/>
      <c r="B35" s="365"/>
      <c r="C35" s="362"/>
      <c r="D35" s="383"/>
      <c r="E35" s="374"/>
      <c r="F35" s="196" t="s">
        <v>68</v>
      </c>
      <c r="G35" s="34"/>
    </row>
    <row r="36" spans="1:7" ht="126.75">
      <c r="A36" s="376"/>
      <c r="B36" s="366"/>
      <c r="C36" s="363"/>
      <c r="D36" s="384"/>
      <c r="E36" s="375"/>
      <c r="F36" s="197" t="s">
        <v>69</v>
      </c>
      <c r="G36" s="34"/>
    </row>
    <row r="37" spans="1:7" ht="112.5">
      <c r="A37" s="376"/>
      <c r="B37" s="170">
        <v>3.01</v>
      </c>
      <c r="C37" s="171" t="s">
        <v>70</v>
      </c>
      <c r="D37" s="39" t="s">
        <v>2270</v>
      </c>
      <c r="E37" s="198" t="s">
        <v>1328</v>
      </c>
      <c r="F37" s="199" t="s">
        <v>1434</v>
      </c>
      <c r="G37" s="34"/>
    </row>
    <row r="38" spans="1:7" ht="101.25">
      <c r="A38" s="376"/>
      <c r="B38" s="170">
        <v>3.02</v>
      </c>
      <c r="C38" s="171" t="s">
        <v>1361</v>
      </c>
      <c r="D38" s="39" t="s">
        <v>2271</v>
      </c>
      <c r="E38" s="198" t="s">
        <v>1376</v>
      </c>
      <c r="F38" s="199" t="s">
        <v>1435</v>
      </c>
      <c r="G38" s="34"/>
    </row>
    <row r="39" spans="1:7" ht="101.25">
      <c r="A39" s="376"/>
      <c r="B39" s="180">
        <v>4</v>
      </c>
      <c r="C39" s="179" t="s">
        <v>1531</v>
      </c>
      <c r="D39" s="39" t="s">
        <v>2272</v>
      </c>
      <c r="E39" s="37" t="s">
        <v>2215</v>
      </c>
      <c r="F39" s="37" t="s">
        <v>1532</v>
      </c>
      <c r="G39" s="34"/>
    </row>
    <row r="40" spans="1:7" ht="56.25">
      <c r="A40" s="376"/>
      <c r="B40" s="170">
        <v>4.01</v>
      </c>
      <c r="C40" s="179" t="s">
        <v>1531</v>
      </c>
      <c r="D40" s="39" t="s">
        <v>2274</v>
      </c>
      <c r="E40" s="37" t="s">
        <v>2229</v>
      </c>
      <c r="F40" s="37" t="s">
        <v>2233</v>
      </c>
      <c r="G40" s="34"/>
    </row>
    <row r="41" spans="1:7" ht="56.25">
      <c r="A41" s="376"/>
      <c r="B41" s="170" t="s">
        <v>2261</v>
      </c>
      <c r="C41" s="179" t="s">
        <v>1531</v>
      </c>
      <c r="D41" s="39" t="s">
        <v>2273</v>
      </c>
      <c r="E41" s="37" t="s">
        <v>2264</v>
      </c>
      <c r="F41" s="37" t="s">
        <v>2262</v>
      </c>
      <c r="G41" s="34"/>
    </row>
    <row r="42" spans="1:7" ht="56.25">
      <c r="A42" s="376"/>
      <c r="B42" s="170" t="s">
        <v>2299</v>
      </c>
      <c r="C42" s="179" t="s">
        <v>1531</v>
      </c>
      <c r="D42" s="39" t="s">
        <v>2306</v>
      </c>
      <c r="E42" s="37" t="s">
        <v>2263</v>
      </c>
      <c r="F42" s="37" t="s">
        <v>2300</v>
      </c>
      <c r="G42" s="34"/>
    </row>
    <row r="43" spans="1:7" ht="123.75">
      <c r="A43" s="376"/>
      <c r="B43" s="191">
        <v>4.0999999999999996</v>
      </c>
      <c r="C43" s="179" t="s">
        <v>2305</v>
      </c>
      <c r="D43" s="192">
        <v>42867</v>
      </c>
      <c r="E43" s="200" t="s">
        <v>2308</v>
      </c>
      <c r="F43" s="37" t="s">
        <v>2307</v>
      </c>
      <c r="G43" s="34"/>
    </row>
    <row r="44" spans="1:7" ht="78.75">
      <c r="A44" s="376"/>
      <c r="B44" s="191">
        <v>4.2</v>
      </c>
      <c r="C44" s="179" t="s">
        <v>2305</v>
      </c>
      <c r="D44" s="192">
        <v>42704</v>
      </c>
      <c r="E44" s="200" t="s">
        <v>2510</v>
      </c>
      <c r="F44" s="37" t="s">
        <v>2485</v>
      </c>
      <c r="G44" s="34"/>
    </row>
    <row r="45" spans="1:7" ht="157.5">
      <c r="A45" s="376"/>
      <c r="B45" s="240">
        <v>5</v>
      </c>
      <c r="C45" s="179" t="s">
        <v>2305</v>
      </c>
      <c r="D45" s="192">
        <v>42867</v>
      </c>
      <c r="E45" s="200" t="s">
        <v>12917</v>
      </c>
      <c r="F45" s="37" t="s">
        <v>12639</v>
      </c>
      <c r="G45" s="34"/>
    </row>
    <row r="46" spans="1:7" ht="45">
      <c r="A46" s="376"/>
      <c r="B46" s="191">
        <v>5.01</v>
      </c>
      <c r="C46" s="179" t="s">
        <v>2305</v>
      </c>
      <c r="D46" s="192">
        <v>42907</v>
      </c>
      <c r="E46" s="200" t="s">
        <v>12935</v>
      </c>
      <c r="F46" s="37" t="s">
        <v>12639</v>
      </c>
      <c r="G46" s="34"/>
    </row>
    <row r="47" spans="1:7" ht="67.5">
      <c r="A47" s="376"/>
      <c r="B47" s="191">
        <v>5.0999999999999996</v>
      </c>
      <c r="C47" s="179" t="s">
        <v>2305</v>
      </c>
      <c r="D47" s="192">
        <v>43070</v>
      </c>
      <c r="E47" s="200" t="s">
        <v>13129</v>
      </c>
      <c r="F47" s="37" t="s">
        <v>13130</v>
      </c>
      <c r="G47" s="34"/>
    </row>
    <row r="48" spans="1:7" ht="56.25">
      <c r="A48" s="376"/>
      <c r="B48" s="191">
        <v>5.1100000000000003</v>
      </c>
      <c r="C48" s="179" t="s">
        <v>13371</v>
      </c>
      <c r="D48" s="192">
        <v>43217</v>
      </c>
      <c r="E48" s="200" t="s">
        <v>13499</v>
      </c>
      <c r="F48" s="37" t="s">
        <v>13405</v>
      </c>
      <c r="G48" s="34"/>
    </row>
    <row r="49" spans="1:7" ht="56.25">
      <c r="A49" s="376"/>
      <c r="B49" s="191">
        <v>5.12</v>
      </c>
      <c r="C49" s="179" t="s">
        <v>13371</v>
      </c>
      <c r="D49" s="192">
        <v>43581</v>
      </c>
      <c r="E49" s="200" t="s">
        <v>13499</v>
      </c>
      <c r="F49" s="37" t="s">
        <v>14064</v>
      </c>
      <c r="G49" s="34"/>
    </row>
    <row r="50" spans="1:7" ht="78.75">
      <c r="A50" s="376"/>
      <c r="B50" s="240">
        <v>6</v>
      </c>
      <c r="C50" s="179" t="s">
        <v>13371</v>
      </c>
      <c r="D50" s="192">
        <v>43964</v>
      </c>
      <c r="E50" s="200" t="s">
        <v>14291</v>
      </c>
      <c r="F50" s="37" t="s">
        <v>14074</v>
      </c>
      <c r="G50" s="34"/>
    </row>
    <row r="51" spans="1:7" ht="45">
      <c r="A51" s="376"/>
      <c r="B51" s="191">
        <v>6.01</v>
      </c>
      <c r="C51" s="179" t="s">
        <v>13371</v>
      </c>
      <c r="D51" s="192">
        <v>43970</v>
      </c>
      <c r="E51" s="200" t="s">
        <v>15309</v>
      </c>
      <c r="F51" s="200" t="s">
        <v>14074</v>
      </c>
      <c r="G51" s="34"/>
    </row>
    <row r="52" spans="1:7" ht="45">
      <c r="A52" s="376"/>
      <c r="B52" s="191">
        <v>6.1</v>
      </c>
      <c r="C52" s="179" t="s">
        <v>13371</v>
      </c>
      <c r="D52" s="192">
        <v>44314</v>
      </c>
      <c r="E52" s="200" t="s">
        <v>15314</v>
      </c>
      <c r="F52" s="200" t="s">
        <v>15319</v>
      </c>
      <c r="G52" s="34"/>
    </row>
    <row r="53" spans="1:7" ht="13.5" thickBot="1">
      <c r="A53" s="377"/>
      <c r="B53" s="378" t="str">
        <f ca="1">OFFSET(L!$C$1,MATCH("General"&amp;"Cpy",L!$A:$A,0)-1,SL,,)</f>
        <v>© 2021 Responsible Minerals Initiative. All rights reserved.</v>
      </c>
      <c r="C53" s="378"/>
      <c r="D53" s="378"/>
      <c r="E53" s="378"/>
      <c r="F53" s="378"/>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baseColWidth="10"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baseColWidth="10"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5"/>
      <c r="B1" s="386"/>
      <c r="C1" s="386"/>
      <c r="D1" s="387"/>
    </row>
    <row r="2" spans="1:5" ht="71.25" customHeight="1">
      <c r="A2" s="87"/>
      <c r="B2" s="166" t="str">
        <f ca="1">OFFSET(L!$C$1,MATCH("Definitions"&amp;ADDRESS(ROW(),COLUMN(),4),L!$A:$A,0)-1,SL,,)</f>
        <v>ITEM</v>
      </c>
      <c r="C2" s="166" t="str">
        <f ca="1">OFFSET(L!$C$1,MATCH("Definitions"&amp;ADDRESS(ROW(),COLUMN(),4),L!$A:$A,0)-1,SL,,)</f>
        <v>DEFINITION</v>
      </c>
      <c r="D2" s="389"/>
      <c r="E2" s="127"/>
    </row>
    <row r="3" spans="1:5" ht="63.95" customHeight="1">
      <c r="A3" s="87"/>
      <c r="B3" s="74" t="str">
        <f ca="1">OFFSET(L!$C$1,MATCH("Definitions"&amp;ADDRESS(ROW(),COLUMN(),4),L!$A:$A,0)-1,SL,,)</f>
        <v>3TG</v>
      </c>
      <c r="C3" s="74" t="str">
        <f ca="1">OFFSET(L!$C$1,MATCH("Definitions"&amp;ADDRESS(ROW(),COLUMN(),4),L!$A:$A,0)-1,SL,,)</f>
        <v>Tantalum, tin, tungsten, gold</v>
      </c>
      <c r="D3" s="389"/>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9"/>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9"/>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9"/>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9"/>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9"/>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9"/>
      <c r="E9" s="128" t="s">
        <v>1313</v>
      </c>
    </row>
    <row r="10" spans="1:5" ht="45">
      <c r="A10" s="87"/>
      <c r="B10" s="74" t="str">
        <f ca="1">OFFSET(L!$C$1,MATCH("Definitions"&amp;ADDRESS(ROW(),COLUMN(),4),L!$A:$A,0)-1,SL,,)</f>
        <v>DRC</v>
      </c>
      <c r="C10" s="74" t="str">
        <f ca="1">OFFSET(L!$C$1,MATCH("Definitions"&amp;ADDRESS(ROW(),COLUMN(),4),L!$A:$A,0)-1,SL,,)</f>
        <v>Democratic Republic of Congo</v>
      </c>
      <c r="D10" s="389"/>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9"/>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9"/>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9"/>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9"/>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9"/>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9"/>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9"/>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9"/>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9"/>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9"/>
      <c r="E20" s="128"/>
    </row>
    <row r="21" spans="1:5" ht="15">
      <c r="A21" s="87"/>
      <c r="B21" s="74" t="str">
        <f ca="1">OFFSET(L!$C$1,MATCH("Definitions"&amp;ADDRESS(ROW(),COLUMN(),4),L!$A:$A,0)-1,SL,,)</f>
        <v>RBA</v>
      </c>
      <c r="C21" s="74" t="str">
        <f ca="1">OFFSET(L!$C$1,MATCH("Definitions"&amp;ADDRESS(ROW(),COLUMN(),4),L!$A:$A,0)-1,SL,,)</f>
        <v>Responsible Business Alliance (www.responsiblebusiness.org)</v>
      </c>
      <c r="D21" s="389"/>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9"/>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9"/>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9"/>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9"/>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9"/>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9"/>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9"/>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9"/>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9"/>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9"/>
      <c r="E31" s="128"/>
    </row>
    <row r="32" spans="1:5" ht="15">
      <c r="A32" s="87"/>
      <c r="B32" s="388" t="str">
        <f ca="1">OFFSET(L!$C$1,MATCH("General"&amp;"Cpy",L!$A:$A,0)-1,SL,,)</f>
        <v>© 2021 Responsible Minerals Initiative. All rights reserved.</v>
      </c>
      <c r="C32" s="388"/>
      <c r="D32" s="389"/>
      <c r="E32" s="128"/>
    </row>
    <row r="33" spans="1:4" ht="13.5" thickBot="1">
      <c r="A33" s="88"/>
      <c r="B33" s="183"/>
      <c r="C33" s="183"/>
      <c r="D33" s="390"/>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D70" sqref="D70:E70"/>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3"/>
      <c r="B1" s="414"/>
      <c r="C1" s="414"/>
      <c r="D1" s="414"/>
      <c r="E1" s="414"/>
      <c r="F1" s="414"/>
      <c r="G1" s="414"/>
      <c r="H1" s="414"/>
      <c r="I1" s="414"/>
      <c r="J1" s="414"/>
      <c r="K1" s="415"/>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6" t="str">
        <f ca="1">OFFSET(L!$C$1,MATCH("Declaration"&amp;ADDRESS(ROW(),COLUMN(),4),L!$A:$A,0)-1,SL,,)</f>
        <v>Conflict Minerals Reporting Template (CMRT)</v>
      </c>
      <c r="E2" s="417"/>
      <c r="F2" s="417"/>
      <c r="G2" s="417"/>
      <c r="H2" s="417"/>
      <c r="I2" s="417"/>
      <c r="J2" s="418"/>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6"/>
      <c r="G3" s="426"/>
      <c r="H3" s="426"/>
      <c r="I3" s="182"/>
      <c r="J3" s="167" t="s">
        <v>15318</v>
      </c>
      <c r="K3" s="47"/>
      <c r="L3" s="139"/>
      <c r="M3" s="130"/>
      <c r="N3" s="130"/>
      <c r="O3" s="131"/>
      <c r="P3" s="144">
        <f>MATCH($D$3,LN,0)</f>
        <v>1</v>
      </c>
    </row>
    <row r="4" spans="1:34" ht="15.75">
      <c r="A4" s="45"/>
      <c r="B4" s="422" t="str">
        <f ca="1">OFFSET(L!$C$1,MATCH("Declaration"&amp;ADDRESS(ROW(),COLUMN(),4),L!$A:$A,0)-1,SL,,)</f>
        <v>The purpose of this document is to collect sourcing information on tin, tantalum, tungsten and gold used in products</v>
      </c>
      <c r="C4" s="422"/>
      <c r="D4" s="422"/>
      <c r="E4" s="422"/>
      <c r="F4" s="422"/>
      <c r="G4" s="422"/>
      <c r="H4" s="422"/>
      <c r="I4" s="427" t="str">
        <f ca="1">OFFSET(L!$C$1,MATCH("Declaration"&amp;ADDRESS(ROW(),COLUMN(),4),L!$A:$A,0)-1,SL,,)</f>
        <v>Link to Terms &amp; Conditions</v>
      </c>
      <c r="J4" s="427"/>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2" t="str">
        <f ca="1">OFFSET(L!$C$1,MATCH("Declaration"&amp;ADDRESS(ROW(),COLUMN(),4),L!$A:$A,0)-1,SL,,)</f>
        <v>Mandatory fields are noted with an asterisk (*).  Consult the instructions tab for guidance on how to answer each question.</v>
      </c>
      <c r="C6" s="422"/>
      <c r="D6" s="422"/>
      <c r="E6" s="422"/>
      <c r="F6" s="422"/>
      <c r="G6" s="422"/>
      <c r="H6" s="422"/>
      <c r="I6" s="422"/>
      <c r="J6" s="422"/>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1" t="str">
        <f ca="1">OFFSET(L!$C$1,MATCH("Declaration"&amp;ADDRESS(ROW(),COLUMN(),4),L!$A:$A,0)-1,SL,,)</f>
        <v>Company Information</v>
      </c>
      <c r="C7" s="431"/>
      <c r="D7" s="431"/>
      <c r="E7" s="431"/>
      <c r="F7" s="431"/>
      <c r="G7" s="431"/>
      <c r="H7" s="431"/>
      <c r="I7" s="431"/>
      <c r="J7" s="431"/>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9" t="s">
        <v>15606</v>
      </c>
      <c r="E8" s="420"/>
      <c r="F8" s="420"/>
      <c r="G8" s="420"/>
      <c r="H8" s="420"/>
      <c r="I8" s="420"/>
      <c r="J8" s="421"/>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8" t="s">
        <v>494</v>
      </c>
      <c r="E9" s="429"/>
      <c r="F9" s="429"/>
      <c r="G9" s="430"/>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2" t="str">
        <f ca="1">OFFSET(L!$C$1,MATCH("Declaration"&amp;ADDRESS(ROW(),COLUMN(),4)&amp;LEFT($D$9,1),L!$A:$A,0)-1,SL,,)</f>
        <v>Description of Scope:</v>
      </c>
      <c r="C10" s="151"/>
      <c r="D10" s="423"/>
      <c r="E10" s="424"/>
      <c r="F10" s="424"/>
      <c r="G10" s="424"/>
      <c r="H10" s="424"/>
      <c r="I10" s="424"/>
      <c r="J10" s="425"/>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3"/>
      <c r="C11" s="151"/>
      <c r="D11" s="442" t="str">
        <f ca="1">IF(D9=Q9,OFFSET(L!$C$1,MATCH("Declaration"&amp;ADDRESS(ROW(),COLUMN(),4),L!$A:$A,0)-1,SL,,),"")</f>
        <v/>
      </c>
      <c r="E11" s="443"/>
      <c r="F11" s="443"/>
      <c r="G11" s="443"/>
      <c r="H11" s="443"/>
      <c r="I11" s="443"/>
      <c r="J11" s="444"/>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5"/>
      <c r="E12" s="406"/>
      <c r="F12" s="406"/>
      <c r="G12" s="406"/>
      <c r="H12" s="406"/>
      <c r="I12" s="406"/>
      <c r="J12" s="407"/>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5"/>
      <c r="E13" s="406"/>
      <c r="F13" s="406"/>
      <c r="G13" s="406"/>
      <c r="H13" s="406"/>
      <c r="I13" s="406"/>
      <c r="J13" s="40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5"/>
      <c r="E14" s="406"/>
      <c r="F14" s="406"/>
      <c r="G14" s="406"/>
      <c r="H14" s="406"/>
      <c r="I14" s="406"/>
      <c r="J14" s="40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5" t="s">
        <v>15607</v>
      </c>
      <c r="E15" s="406"/>
      <c r="F15" s="406"/>
      <c r="G15" s="406"/>
      <c r="H15" s="406"/>
      <c r="I15" s="406"/>
      <c r="J15" s="40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4" t="s">
        <v>15608</v>
      </c>
      <c r="E16" s="435"/>
      <c r="F16" s="435"/>
      <c r="G16" s="435"/>
      <c r="H16" s="435"/>
      <c r="I16" s="435"/>
      <c r="J16" s="436"/>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5" t="s">
        <v>15609</v>
      </c>
      <c r="E17" s="406"/>
      <c r="F17" s="406"/>
      <c r="G17" s="406"/>
      <c r="H17" s="406"/>
      <c r="I17" s="406"/>
      <c r="J17" s="40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5" t="s">
        <v>15610</v>
      </c>
      <c r="E18" s="406"/>
      <c r="F18" s="406"/>
      <c r="G18" s="406"/>
      <c r="H18" s="406"/>
      <c r="I18" s="406"/>
      <c r="J18" s="40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5"/>
      <c r="E19" s="406"/>
      <c r="F19" s="406"/>
      <c r="G19" s="406"/>
      <c r="H19" s="406"/>
      <c r="I19" s="406"/>
      <c r="J19" s="40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4" t="s">
        <v>15611</v>
      </c>
      <c r="E20" s="435"/>
      <c r="F20" s="435"/>
      <c r="G20" s="435"/>
      <c r="H20" s="435"/>
      <c r="I20" s="435"/>
      <c r="J20" s="436"/>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9"/>
      <c r="E21" s="400"/>
      <c r="F21" s="400"/>
      <c r="G21" s="400"/>
      <c r="H21" s="400"/>
      <c r="I21" s="400"/>
      <c r="J21" s="401"/>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02">
        <v>44341</v>
      </c>
      <c r="E22" s="403"/>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9"/>
      <c r="E23" s="43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04" t="str">
        <f ca="1">OFFSET(L!$C$1,MATCH("Declaration"&amp;ADDRESS(ROW(),COLUMN(),4),L!$A:$A,0)-1,SL,,)</f>
        <v>Answer the following questions 1 - 8 based on the declaration scope indicated above</v>
      </c>
      <c r="C24" s="404"/>
      <c r="D24" s="404"/>
      <c r="E24" s="404"/>
      <c r="F24" s="404"/>
      <c r="G24" s="404"/>
      <c r="H24" s="404"/>
      <c r="I24" s="404"/>
      <c r="J24" s="404"/>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40" t="str">
        <f ca="1">OFFSET(L!$C$1,MATCH("Declaration"&amp;ADDRESS(ROW(),COLUMN(),4),L!$A:$A,0)-1,SL,,)</f>
        <v>Answer</v>
      </c>
      <c r="E25" s="440"/>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91" t="s">
        <v>488</v>
      </c>
      <c r="E26" s="392"/>
      <c r="F26" s="15"/>
      <c r="G26" s="393"/>
      <c r="H26" s="394"/>
      <c r="I26" s="394"/>
      <c r="J26" s="395"/>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1" t="s">
        <v>488</v>
      </c>
      <c r="E27" s="392"/>
      <c r="F27" s="15"/>
      <c r="G27" s="393"/>
      <c r="H27" s="394"/>
      <c r="I27" s="394"/>
      <c r="J27" s="395"/>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1" t="s">
        <v>488</v>
      </c>
      <c r="E28" s="392"/>
      <c r="F28" s="15"/>
      <c r="G28" s="393"/>
      <c r="H28" s="394"/>
      <c r="I28" s="394"/>
      <c r="J28" s="395"/>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91" t="s">
        <v>488</v>
      </c>
      <c r="E29" s="392"/>
      <c r="F29" s="15"/>
      <c r="G29" s="393"/>
      <c r="H29" s="394"/>
      <c r="I29" s="394"/>
      <c r="J29" s="395"/>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08" t="s">
        <v>488</v>
      </c>
      <c r="E32" s="409"/>
      <c r="F32" s="58"/>
      <c r="G32" s="393"/>
      <c r="H32" s="394"/>
      <c r="I32" s="394"/>
      <c r="J32" s="395"/>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1" t="s">
        <v>488</v>
      </c>
      <c r="E33" s="392"/>
      <c r="F33" s="58"/>
      <c r="G33" s="393"/>
      <c r="H33" s="394"/>
      <c r="I33" s="394"/>
      <c r="J33" s="395"/>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1" t="s">
        <v>488</v>
      </c>
      <c r="E34" s="392"/>
      <c r="F34" s="58"/>
      <c r="G34" s="393"/>
      <c r="H34" s="394"/>
      <c r="I34" s="394"/>
      <c r="J34" s="395"/>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91" t="s">
        <v>488</v>
      </c>
      <c r="E35" s="392"/>
      <c r="F35" s="58"/>
      <c r="G35" s="393"/>
      <c r="H35" s="394"/>
      <c r="I35" s="394"/>
      <c r="J35" s="395"/>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38"/>
      <c r="I37" s="438"/>
      <c r="J37" s="438"/>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91" t="s">
        <v>488</v>
      </c>
      <c r="E38" s="392"/>
      <c r="F38" s="58"/>
      <c r="G38" s="393" t="s">
        <v>15613</v>
      </c>
      <c r="H38" s="394"/>
      <c r="I38" s="394"/>
      <c r="J38" s="395"/>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1" t="s">
        <v>489</v>
      </c>
      <c r="E39" s="392"/>
      <c r="F39" s="58"/>
      <c r="G39" s="393"/>
      <c r="H39" s="394"/>
      <c r="I39" s="394"/>
      <c r="J39" s="395"/>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91" t="s">
        <v>489</v>
      </c>
      <c r="E40" s="392"/>
      <c r="F40" s="58"/>
      <c r="G40" s="393"/>
      <c r="H40" s="394"/>
      <c r="I40" s="394"/>
      <c r="J40" s="395"/>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91" t="s">
        <v>488</v>
      </c>
      <c r="E41" s="392"/>
      <c r="F41" s="58"/>
      <c r="G41" s="393" t="s">
        <v>15613</v>
      </c>
      <c r="H41" s="394"/>
      <c r="I41" s="394"/>
      <c r="J41" s="395"/>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91" t="s">
        <v>488</v>
      </c>
      <c r="E44" s="392"/>
      <c r="F44" s="58"/>
      <c r="G44" s="393" t="s">
        <v>15614</v>
      </c>
      <c r="H44" s="394"/>
      <c r="I44" s="394"/>
      <c r="J44" s="395"/>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1" t="s">
        <v>489</v>
      </c>
      <c r="E45" s="392"/>
      <c r="F45" s="58"/>
      <c r="G45" s="393"/>
      <c r="H45" s="394"/>
      <c r="I45" s="394"/>
      <c r="J45" s="395"/>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1" t="s">
        <v>489</v>
      </c>
      <c r="E46" s="392"/>
      <c r="F46" s="58"/>
      <c r="G46" s="393"/>
      <c r="H46" s="394"/>
      <c r="I46" s="394"/>
      <c r="J46" s="395"/>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91" t="s">
        <v>488</v>
      </c>
      <c r="E47" s="392"/>
      <c r="F47" s="58"/>
      <c r="G47" s="393" t="s">
        <v>15614</v>
      </c>
      <c r="H47" s="394"/>
      <c r="I47" s="394"/>
      <c r="J47" s="395"/>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91" t="s">
        <v>488</v>
      </c>
      <c r="E50" s="392"/>
      <c r="F50" s="58"/>
      <c r="G50" s="393" t="s">
        <v>15614</v>
      </c>
      <c r="H50" s="394"/>
      <c r="I50" s="394"/>
      <c r="J50" s="395"/>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1" t="s">
        <v>489</v>
      </c>
      <c r="E51" s="392"/>
      <c r="F51" s="58"/>
      <c r="G51" s="393"/>
      <c r="H51" s="394"/>
      <c r="I51" s="394"/>
      <c r="J51" s="395"/>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91" t="s">
        <v>489</v>
      </c>
      <c r="E52" s="392"/>
      <c r="F52" s="58"/>
      <c r="G52" s="393"/>
      <c r="H52" s="394"/>
      <c r="I52" s="394"/>
      <c r="J52" s="395"/>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91" t="s">
        <v>488</v>
      </c>
      <c r="E53" s="392"/>
      <c r="F53" s="58"/>
      <c r="G53" s="393" t="s">
        <v>15614</v>
      </c>
      <c r="H53" s="394"/>
      <c r="I53" s="394"/>
      <c r="J53" s="395"/>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96">
        <v>1</v>
      </c>
      <c r="E56" s="397"/>
      <c r="F56" s="58"/>
      <c r="G56" s="393"/>
      <c r="H56" s="394"/>
      <c r="I56" s="394"/>
      <c r="J56" s="395"/>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6">
        <v>1</v>
      </c>
      <c r="E57" s="397"/>
      <c r="F57" s="58"/>
      <c r="G57" s="393"/>
      <c r="H57" s="394"/>
      <c r="I57" s="394"/>
      <c r="J57" s="395"/>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6">
        <v>1</v>
      </c>
      <c r="E58" s="397"/>
      <c r="F58" s="58"/>
      <c r="G58" s="393"/>
      <c r="H58" s="394"/>
      <c r="I58" s="394"/>
      <c r="J58" s="395"/>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6">
        <v>1</v>
      </c>
      <c r="E59" s="397"/>
      <c r="F59" s="58"/>
      <c r="G59" s="393"/>
      <c r="H59" s="394"/>
      <c r="I59" s="394"/>
      <c r="J59" s="395"/>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8" t="str">
        <f ca="1">D25</f>
        <v>Answer</v>
      </c>
      <c r="E61" s="398"/>
      <c r="F61" s="21"/>
      <c r="G61" s="55" t="str">
        <f ca="1">G25</f>
        <v>Comments</v>
      </c>
      <c r="H61" s="437"/>
      <c r="I61" s="437"/>
      <c r="J61" s="437"/>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8" t="s">
        <v>488</v>
      </c>
      <c r="E62" s="409"/>
      <c r="F62" s="58"/>
      <c r="G62" s="393" t="s">
        <v>15615</v>
      </c>
      <c r="H62" s="394"/>
      <c r="I62" s="394"/>
      <c r="J62" s="395"/>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1" t="s">
        <v>488</v>
      </c>
      <c r="E63" s="392"/>
      <c r="F63" s="58"/>
      <c r="G63" s="393"/>
      <c r="H63" s="394"/>
      <c r="I63" s="394"/>
      <c r="J63" s="395"/>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91" t="s">
        <v>488</v>
      </c>
      <c r="E64" s="392"/>
      <c r="F64" s="58"/>
      <c r="G64" s="393"/>
      <c r="H64" s="394"/>
      <c r="I64" s="394"/>
      <c r="J64" s="395"/>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91" t="s">
        <v>488</v>
      </c>
      <c r="E65" s="392"/>
      <c r="F65" s="58"/>
      <c r="G65" s="393" t="s">
        <v>15615</v>
      </c>
      <c r="H65" s="394"/>
      <c r="I65" s="394"/>
      <c r="J65" s="395"/>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437" t="str">
        <f>IF(Q75="(*)","Click here to enter smelter names","")</f>
        <v/>
      </c>
      <c r="I67" s="437"/>
      <c r="J67" s="437"/>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91" t="s">
        <v>488</v>
      </c>
      <c r="E68" s="392"/>
      <c r="F68" s="59"/>
      <c r="G68" s="393" t="s">
        <v>15616</v>
      </c>
      <c r="H68" s="394"/>
      <c r="I68" s="394"/>
      <c r="J68" s="395"/>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1" t="s">
        <v>488</v>
      </c>
      <c r="E69" s="392"/>
      <c r="F69" s="59"/>
      <c r="G69" s="393"/>
      <c r="H69" s="394"/>
      <c r="I69" s="394"/>
      <c r="J69" s="395"/>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91" t="s">
        <v>488</v>
      </c>
      <c r="E70" s="392"/>
      <c r="F70" s="59"/>
      <c r="G70" s="393"/>
      <c r="H70" s="394"/>
      <c r="I70" s="394"/>
      <c r="J70" s="395"/>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91" t="s">
        <v>488</v>
      </c>
      <c r="E71" s="392"/>
      <c r="F71" s="61"/>
      <c r="G71" s="393" t="s">
        <v>15616</v>
      </c>
      <c r="H71" s="394"/>
      <c r="I71" s="394"/>
      <c r="J71" s="395"/>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51" t="str">
        <f ca="1">OFFSET(L!$C$1,MATCH("Declaration"&amp;ADDRESS(ROW(),COLUMN(),4),L!$A:$A,0)-1,SL,,)</f>
        <v>Answer the Following Questions at a Company Level</v>
      </c>
      <c r="C73" s="451"/>
      <c r="D73" s="451"/>
      <c r="E73" s="451"/>
      <c r="F73" s="451"/>
      <c r="G73" s="451"/>
      <c r="H73" s="451"/>
      <c r="I73" s="451"/>
      <c r="J73" s="451"/>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40" t="str">
        <f ca="1">D25</f>
        <v>Answer</v>
      </c>
      <c r="E74" s="440"/>
      <c r="F74" s="64"/>
      <c r="G74" s="440" t="str">
        <f ca="1">G25</f>
        <v>Comments</v>
      </c>
      <c r="H74" s="440" t="e">
        <f>HLOOKUP(SL,LT,$O74,0)</f>
        <v>#NAME?</v>
      </c>
      <c r="I74" s="440"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1" t="s">
        <v>488</v>
      </c>
      <c r="E75" s="392"/>
      <c r="F75" s="68"/>
      <c r="G75" s="393" t="s">
        <v>15612</v>
      </c>
      <c r="H75" s="394"/>
      <c r="I75" s="394"/>
      <c r="J75" s="395"/>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41"/>
      <c r="H76" s="441"/>
      <c r="I76" s="441"/>
      <c r="J76" s="441"/>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1" t="s">
        <v>489</v>
      </c>
      <c r="E77" s="392"/>
      <c r="F77" s="68"/>
      <c r="G77" s="410"/>
      <c r="H77" s="411"/>
      <c r="I77" s="411"/>
      <c r="J77" s="412"/>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1" t="s">
        <v>488</v>
      </c>
      <c r="E79" s="392"/>
      <c r="F79" s="68"/>
      <c r="G79" s="393" t="s">
        <v>15612</v>
      </c>
      <c r="H79" s="394"/>
      <c r="I79" s="394"/>
      <c r="J79" s="395"/>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1" t="s">
        <v>488</v>
      </c>
      <c r="E81" s="392"/>
      <c r="F81" s="68"/>
      <c r="G81" s="393" t="s">
        <v>15612</v>
      </c>
      <c r="H81" s="394"/>
      <c r="I81" s="394"/>
      <c r="J81" s="395"/>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1" t="s">
        <v>15250</v>
      </c>
      <c r="E83" s="392"/>
      <c r="F83" s="68"/>
      <c r="G83" s="393" t="s">
        <v>15612</v>
      </c>
      <c r="H83" s="394"/>
      <c r="I83" s="394"/>
      <c r="J83" s="395"/>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8" t="s">
        <v>488</v>
      </c>
      <c r="E85" s="449"/>
      <c r="F85" s="68"/>
      <c r="G85" s="393" t="s">
        <v>15612</v>
      </c>
      <c r="H85" s="394"/>
      <c r="I85" s="394"/>
      <c r="J85" s="395"/>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41"/>
      <c r="H86" s="441"/>
      <c r="I86" s="441"/>
      <c r="J86" s="441"/>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1" t="s">
        <v>488</v>
      </c>
      <c r="E87" s="392"/>
      <c r="F87" s="68"/>
      <c r="G87" s="393" t="s">
        <v>15612</v>
      </c>
      <c r="H87" s="394"/>
      <c r="I87" s="394"/>
      <c r="J87" s="395"/>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50"/>
      <c r="H88" s="450"/>
      <c r="I88" s="450"/>
      <c r="J88" s="45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1" t="s">
        <v>489</v>
      </c>
      <c r="E89" s="392"/>
      <c r="F89" s="68"/>
      <c r="G89" s="393" t="s">
        <v>15612</v>
      </c>
      <c r="H89" s="394"/>
      <c r="I89" s="394"/>
      <c r="J89" s="395"/>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7" t="str">
        <f>IF(OR($D$8="",$I$3=""),"","Click here to check required fields completion")</f>
        <v/>
      </c>
      <c r="C90" s="447"/>
      <c r="D90" s="447"/>
      <c r="E90" s="447"/>
      <c r="F90" s="447"/>
      <c r="G90" s="447"/>
      <c r="H90" s="447"/>
      <c r="I90" s="447"/>
      <c r="J90" s="44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45" t="str">
        <f ca="1">OFFSET(L!$C$1,MATCH("General"&amp;"Cpy",L!$A:$A,0)-1,SL,,)</f>
        <v>© 2021 Responsible Minerals Initiative. All rights reserved.</v>
      </c>
      <c r="B91" s="446"/>
      <c r="C91" s="446"/>
      <c r="D91" s="446"/>
      <c r="E91" s="446"/>
      <c r="F91" s="446"/>
      <c r="G91" s="446"/>
      <c r="H91" s="446"/>
      <c r="I91" s="446"/>
      <c r="J91" s="44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D83">
    <cfRule type="expression" dxfId="115" priority="63" stopIfTrue="1">
      <formula>AND(OR($D$26="No",AND($D$26="Yes",$D$32="No")),OR($D$27="No",AND($D$27="Yes",$D$33="No")),OR($D$28="No",AND($D$28="Yes",$D$34="No")),OR($D$29="No",AND($D$29="Yes",$D$35="No")))</formula>
    </cfRule>
    <cfRule type="expression" dxfId="114" priority="64" stopIfTrue="1">
      <formula>IF(D75="",TRUE)</formula>
    </cfRule>
  </conditionalFormatting>
  <conditionalFormatting sqref="G77:J77">
    <cfRule type="expression" dxfId="113" priority="35" stopIfTrue="1">
      <formula>IF(AND($D$77="Yes",$G$77=""),TRUE)</formula>
    </cfRule>
  </conditionalFormatting>
  <conditionalFormatting sqref="D26:E26">
    <cfRule type="expression" dxfId="112" priority="115" stopIfTrue="1">
      <formula>IF($D$26="",TRUE)</formula>
    </cfRule>
  </conditionalFormatting>
  <conditionalFormatting sqref="D27:E27">
    <cfRule type="expression" dxfId="111" priority="122" stopIfTrue="1">
      <formula>IF($D$27="",TRUE)</formula>
    </cfRule>
  </conditionalFormatting>
  <conditionalFormatting sqref="D28:E28">
    <cfRule type="expression" dxfId="110" priority="123" stopIfTrue="1">
      <formula>IF($D$28="",TRUE)</formula>
    </cfRule>
  </conditionalFormatting>
  <conditionalFormatting sqref="D29:E29">
    <cfRule type="expression" dxfId="109" priority="124" stopIfTrue="1">
      <formula>IF($D$29="",TRUE)</formula>
    </cfRule>
  </conditionalFormatting>
  <conditionalFormatting sqref="D8:J8">
    <cfRule type="expression" dxfId="108" priority="129" stopIfTrue="1">
      <formula>IF($D$8="",TRUE)</formula>
    </cfRule>
  </conditionalFormatting>
  <conditionalFormatting sqref="D9:G9">
    <cfRule type="expression" dxfId="107" priority="130" stopIfTrue="1">
      <formula>IF($D$9="",TRUE)</formula>
    </cfRule>
  </conditionalFormatting>
  <conditionalFormatting sqref="D15:J15">
    <cfRule type="expression" dxfId="106" priority="131" stopIfTrue="1">
      <formula>IF($D$15="",TRUE)</formula>
    </cfRule>
  </conditionalFormatting>
  <conditionalFormatting sqref="D16:J16">
    <cfRule type="expression" dxfId="105" priority="132" stopIfTrue="1">
      <formula>IF($D$16="",TRUE)</formula>
    </cfRule>
  </conditionalFormatting>
  <conditionalFormatting sqref="D17:J17">
    <cfRule type="expression" dxfId="104" priority="133" stopIfTrue="1">
      <formula>IF($D$17="",TRUE)</formula>
    </cfRule>
  </conditionalFormatting>
  <conditionalFormatting sqref="D18:J18">
    <cfRule type="expression" dxfId="103" priority="134" stopIfTrue="1">
      <formula>IF($D$18="",TRUE)</formula>
    </cfRule>
  </conditionalFormatting>
  <conditionalFormatting sqref="D22:E22">
    <cfRule type="expression" dxfId="102" priority="137" stopIfTrue="1">
      <formula>IF($D$22="",TRUE)</formula>
    </cfRule>
  </conditionalFormatting>
  <conditionalFormatting sqref="D10:J10">
    <cfRule type="expression" dxfId="101" priority="34" stopIfTrue="1">
      <formula>IF($D$9=$Q$9,TRUE)</formula>
    </cfRule>
    <cfRule type="expression" dxfId="100" priority="144" stopIfTrue="1">
      <formula>IF(AND($D$10="",$D$9=$R$9),TRUE)</formula>
    </cfRule>
  </conditionalFormatting>
  <conditionalFormatting sqref="D34:E34 D40:E40 D52:E52 D58:E58 D64:E64 D70:E70">
    <cfRule type="expression" dxfId="99" priority="27" stopIfTrue="1">
      <formula>$P$28=""</formula>
    </cfRule>
  </conditionalFormatting>
  <conditionalFormatting sqref="D35:E35 D41:E41 D53:E53 D59:E59 D65:E65 D71:E71">
    <cfRule type="expression" dxfId="98" priority="142" stopIfTrue="1">
      <formula>$P$29=""</formula>
    </cfRule>
  </conditionalFormatting>
  <conditionalFormatting sqref="D32:E32">
    <cfRule type="expression" dxfId="97" priority="120" stopIfTrue="1">
      <formula>$P$26=""</formula>
    </cfRule>
  </conditionalFormatting>
  <conditionalFormatting sqref="D32:E32">
    <cfRule type="expression" dxfId="96" priority="33" stopIfTrue="1">
      <formula>IF(AND(OR($D$26="Yes",$D$26=""),$D$32=""),1,0)</formula>
    </cfRule>
  </conditionalFormatting>
  <conditionalFormatting sqref="D38 D50 D56 D62 D68">
    <cfRule type="expression" dxfId="95" priority="29" stopIfTrue="1">
      <formula>$P$32=""</formula>
    </cfRule>
  </conditionalFormatting>
  <conditionalFormatting sqref="D39:E39 D51 D57 D63 D69">
    <cfRule type="expression" dxfId="94" priority="28" stopIfTrue="1">
      <formula>$P$33=""</formula>
    </cfRule>
  </conditionalFormatting>
  <conditionalFormatting sqref="D40 D52 D58 D64 D70">
    <cfRule type="expression" dxfId="93" priority="18" stopIfTrue="1">
      <formula>$P$34=""</formula>
    </cfRule>
    <cfRule type="expression" dxfId="92" priority="140" stopIfTrue="1">
      <formula>IF(AND(OR($D$28="Yes",$D$28=""),D40=""),1,0)</formula>
    </cfRule>
  </conditionalFormatting>
  <conditionalFormatting sqref="D41 D53 D59 D65 D71">
    <cfRule type="expression" dxfId="91" priority="26" stopIfTrue="1">
      <formula>$P$35=""</formula>
    </cfRule>
  </conditionalFormatting>
  <conditionalFormatting sqref="D38:E38 D50:E50 D56:E56 D62:E62 D68:E68">
    <cfRule type="expression" dxfId="90" priority="31" stopIfTrue="1">
      <formula>$P$26=""</formula>
    </cfRule>
    <cfRule type="expression" dxfId="89" priority="32" stopIfTrue="1">
      <formula>IF(AND(OR($D$26="Yes",$D$26=""),D38=""),1,0)</formula>
    </cfRule>
  </conditionalFormatting>
  <conditionalFormatting sqref="G85:J85">
    <cfRule type="expression" dxfId="88" priority="25" stopIfTrue="1">
      <formula>IF(AND($D$85="Yes, using other format (describe)",$G$85=""),TRUE)</formula>
    </cfRule>
  </conditionalFormatting>
  <conditionalFormatting sqref="D39:E39 D51:E51 D57:E57 D63:E63 D69:E69">
    <cfRule type="expression" dxfId="87" priority="138" stopIfTrue="1">
      <formula>$P$39=""</formula>
    </cfRule>
    <cfRule type="expression" dxfId="86" priority="139" stopIfTrue="1">
      <formula>IF(AND(OR($D$27="Yes",$D$27=""),D39=""),1,0)</formula>
    </cfRule>
  </conditionalFormatting>
  <conditionalFormatting sqref="D33:E33">
    <cfRule type="expression" dxfId="85" priority="20" stopIfTrue="1">
      <formula>IF(AND(OR($D$27="Yes",$D$27=""),$D$33=""),1,0)</formula>
    </cfRule>
    <cfRule type="expression" dxfId="84" priority="21" stopIfTrue="1">
      <formula>$P$27=""</formula>
    </cfRule>
  </conditionalFormatting>
  <conditionalFormatting sqref="D34:E34">
    <cfRule type="expression" dxfId="83" priority="141" stopIfTrue="1">
      <formula>IF(AND(OR($D$28="Yes",$D$28=""),$D$34=""),1,0)</formula>
    </cfRule>
  </conditionalFormatting>
  <conditionalFormatting sqref="D41:E41 D53:E53 D59:E59 D65:E65 D71:E71">
    <cfRule type="expression" dxfId="82" priority="143" stopIfTrue="1">
      <formula>IF(AND(OR($D$29="Yes",$D$29=""),D41=""),1,0)</formula>
    </cfRule>
  </conditionalFormatting>
  <conditionalFormatting sqref="D35:E35">
    <cfRule type="expression" dxfId="81" priority="17" stopIfTrue="1">
      <formula>IF(AND(OR($D$29="Yes",$D$29=""),$D$35=""),1,0)</formula>
    </cfRule>
  </conditionalFormatting>
  <conditionalFormatting sqref="D20:J20">
    <cfRule type="expression" dxfId="80" priority="13" stopIfTrue="1">
      <formula>IF($D$20="",TRUE)</formula>
    </cfRule>
  </conditionalFormatting>
  <conditionalFormatting sqref="D46:E46">
    <cfRule type="expression" dxfId="79" priority="3" stopIfTrue="1">
      <formula>$P$28=""</formula>
    </cfRule>
  </conditionalFormatting>
  <conditionalFormatting sqref="D47:E47">
    <cfRule type="expression" dxfId="78" priority="11" stopIfTrue="1">
      <formula>$P$29=""</formula>
    </cfRule>
  </conditionalFormatting>
  <conditionalFormatting sqref="D44">
    <cfRule type="expression" dxfId="77" priority="5" stopIfTrue="1">
      <formula>$P$32=""</formula>
    </cfRule>
  </conditionalFormatting>
  <conditionalFormatting sqref="D45">
    <cfRule type="expression" dxfId="76" priority="4" stopIfTrue="1">
      <formula>$P$33=""</formula>
    </cfRule>
  </conditionalFormatting>
  <conditionalFormatting sqref="D46">
    <cfRule type="expression" dxfId="75" priority="1" stopIfTrue="1">
      <formula>$P$34=""</formula>
    </cfRule>
    <cfRule type="expression" dxfId="74" priority="10" stopIfTrue="1">
      <formula>IF(AND(OR($D$28="Yes",$D$28=""),D46=""),1,0)</formula>
    </cfRule>
  </conditionalFormatting>
  <conditionalFormatting sqref="D47">
    <cfRule type="expression" dxfId="73" priority="2" stopIfTrue="1">
      <formula>$P$35=""</formula>
    </cfRule>
  </conditionalFormatting>
  <conditionalFormatting sqref="D44:E44">
    <cfRule type="expression" dxfId="72" priority="6" stopIfTrue="1">
      <formula>$P$26=""</formula>
    </cfRule>
    <cfRule type="expression" dxfId="71" priority="7" stopIfTrue="1">
      <formula>IF(AND(OR($D$26="Yes",$D$26=""),D44=""),1,0)</formula>
    </cfRule>
  </conditionalFormatting>
  <conditionalFormatting sqref="D45:E45">
    <cfRule type="expression" dxfId="70" priority="8" stopIfTrue="1">
      <formula>$P$39=""</formula>
    </cfRule>
    <cfRule type="expression" dxfId="69" priority="9" stopIfTrue="1">
      <formula>IF(AND(OR($D$27="Yes",$D$27=""),D45=""),1,0)</formula>
    </cfRule>
  </conditionalFormatting>
  <conditionalFormatting sqref="D47:E47">
    <cfRule type="expression" dxfId="68"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pane ySplit="4" topLeftCell="A5" activePane="bottomLeft" state="frozen"/>
      <selection pane="bottomLeft" activeCell="C44" sqref="C44"/>
    </sheetView>
  </sheetViews>
  <sheetFormatPr baseColWidth="10"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2" t="str">
        <f ca="1">OFFSET(L!$C$1,MATCH("Smelter List"&amp;ADDRESS(ROW(),COLUMN(),4),L!$A:$A,0)-1,SL,,)</f>
        <v>Link to "RMAP Conformant Smelter List"</v>
      </c>
      <c r="K2" s="453"/>
      <c r="L2" s="453"/>
      <c r="M2" s="453"/>
      <c r="N2" s="453"/>
      <c r="O2" s="453"/>
      <c r="P2" s="231"/>
      <c r="Q2" s="232"/>
      <c r="R2" s="233"/>
      <c r="S2" s="233"/>
      <c r="T2" s="233"/>
      <c r="U2" s="262"/>
      <c r="V2" s="262"/>
      <c r="W2" s="263"/>
      <c r="X2" s="262"/>
      <c r="Y2" s="262"/>
      <c r="Z2" s="262"/>
      <c r="AH2" s="174" t="s">
        <v>488</v>
      </c>
    </row>
    <row r="3" spans="1:34" s="264" customFormat="1" ht="273.95" customHeight="1">
      <c r="A3" s="202"/>
      <c r="B3" s="45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4"/>
      <c r="D3" s="454"/>
      <c r="E3" s="454"/>
      <c r="F3" s="265"/>
      <c r="G3" s="455" t="str">
        <f ca="1">OFFSET(L!$C$1,MATCH("General"&amp;"Cpy",L!$A:$A,0)-1,SL,,)</f>
        <v>© 2021 Responsible Minerals Initiative. All rights reserved.</v>
      </c>
      <c r="H3" s="455"/>
      <c r="I3" s="456"/>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54" t="s">
        <v>792</v>
      </c>
      <c r="B5" s="215" t="s">
        <v>1133</v>
      </c>
      <c r="C5" s="355" t="s">
        <v>14037</v>
      </c>
      <c r="D5" s="278"/>
      <c r="E5" s="215" t="s">
        <v>1108</v>
      </c>
      <c r="F5" s="215" t="s">
        <v>792</v>
      </c>
      <c r="G5" s="215" t="s">
        <v>13459</v>
      </c>
      <c r="H5" s="356">
        <v>0</v>
      </c>
      <c r="I5" s="357" t="s">
        <v>2148</v>
      </c>
      <c r="J5" s="357" t="s">
        <v>2149</v>
      </c>
      <c r="K5" s="358"/>
      <c r="L5" s="358"/>
      <c r="M5" s="358"/>
      <c r="N5" s="358"/>
      <c r="O5" s="358"/>
      <c r="P5" s="359"/>
      <c r="Q5" s="360"/>
      <c r="R5" s="215" t="str">
        <f ca="1">IF(ISERROR($V5),"",OFFSET('Smelter Look-up'!$C$4,$V5-4,0)&amp;"")</f>
        <v>A.L.M.T. Corp.</v>
      </c>
      <c r="S5" s="222" t="str">
        <f t="shared" ref="S5" ca="1" si="0">IF(B5="","",IF(ISERROR(MATCH($E5,CL,0)),"Unknown",INDIRECT("'C'!$A$"&amp;MATCH($E5,CL,0)+1)))</f>
        <v>JP</v>
      </c>
      <c r="T5" s="222" t="str">
        <f ca="1">IF(B5="","",IF(ISERROR(MATCH($J5,SorP!$B$1:$B$6230,0)),"",INDIRECT("'SorP'!$A$"&amp;MATCH($J5,SorP!$B$1:$B$6230,0))))</f>
        <v>JP-16</v>
      </c>
      <c r="U5" s="238"/>
      <c r="V5" s="270">
        <f>IF(C5="",NA(),MATCH($B5&amp;$C5,'Smelter Look-up'!$J:$J,0))</f>
        <v>533</v>
      </c>
      <c r="W5" s="271"/>
      <c r="X5" s="271">
        <f t="shared" ref="X5" si="1">IF(AND(C5="Smelter not listed",OR(LEN(D5)=0,LEN(E5)=0)),1,0)</f>
        <v>0</v>
      </c>
      <c r="Y5" s="271"/>
      <c r="Z5" s="271"/>
      <c r="AB5" s="273" t="str">
        <f t="shared" ref="AB5" si="2">B5&amp;C5</f>
        <v>TungstenA.L.M.T. Corp.</v>
      </c>
    </row>
    <row r="6" spans="1:34" s="272" customFormat="1" ht="20.100000000000001" customHeight="1">
      <c r="A6" s="354" t="s">
        <v>793</v>
      </c>
      <c r="B6" s="215" t="s">
        <v>1133</v>
      </c>
      <c r="C6" s="355" t="s">
        <v>148</v>
      </c>
      <c r="D6" s="278"/>
      <c r="E6" s="215" t="s">
        <v>2463</v>
      </c>
      <c r="F6" s="215" t="s">
        <v>793</v>
      </c>
      <c r="G6" s="215" t="s">
        <v>13459</v>
      </c>
      <c r="H6" s="356">
        <v>0</v>
      </c>
      <c r="I6" s="357" t="s">
        <v>1837</v>
      </c>
      <c r="J6" s="357" t="s">
        <v>1838</v>
      </c>
      <c r="K6" s="358"/>
      <c r="L6" s="358"/>
      <c r="M6" s="358"/>
      <c r="N6" s="358"/>
      <c r="O6" s="358"/>
      <c r="P6" s="359"/>
      <c r="Q6" s="360"/>
      <c r="R6" s="215" t="str">
        <f ca="1">IF(ISERROR($V6),"",OFFSET('Smelter Look-up'!$C$4,$V6-4,0)&amp;"")</f>
        <v>Kennametal Huntsville</v>
      </c>
      <c r="S6" s="222" t="str">
        <f t="shared" ref="S6:S37" ca="1" si="3">IF(B6="","",IF(ISERROR(MATCH($E6,CL,0)),"Unknown",INDIRECT("'C'!$A$"&amp;MATCH($E6,CL,0)+1)))</f>
        <v>US</v>
      </c>
      <c r="T6" s="222" t="str">
        <f ca="1">IF(B6="","",IF(ISERROR(MATCH($J6,SorP!$B$1:$B$6230,0)),"",INDIRECT("'SorP'!$A$"&amp;MATCH($J6,SorP!$B$1:$B$6230,0))))</f>
        <v>US-AL</v>
      </c>
      <c r="U6" s="238"/>
      <c r="V6" s="270">
        <f>IF(C6="",NA(),MATCH($B6&amp;$C6,'Smelter Look-up'!$J:$J,0))</f>
        <v>583</v>
      </c>
      <c r="W6" s="271"/>
      <c r="X6" s="271">
        <f t="shared" ref="X6:X37" si="4">IF(AND(C6="Smelter not listed",OR(LEN(D6)=0,LEN(E6)=0)),1,0)</f>
        <v>0</v>
      </c>
      <c r="Y6" s="271"/>
      <c r="Z6" s="271"/>
      <c r="AB6" s="273" t="str">
        <f t="shared" ref="AB6:AB37" si="5">B6&amp;C6</f>
        <v>TungstenKennametal Huntsville</v>
      </c>
    </row>
    <row r="7" spans="1:34" s="272" customFormat="1" ht="20.100000000000001" customHeight="1">
      <c r="A7" s="354" t="s">
        <v>795</v>
      </c>
      <c r="B7" s="215" t="s">
        <v>1133</v>
      </c>
      <c r="C7" s="355" t="s">
        <v>1379</v>
      </c>
      <c r="D7" s="278"/>
      <c r="E7" s="215" t="s">
        <v>1100</v>
      </c>
      <c r="F7" s="215" t="s">
        <v>795</v>
      </c>
      <c r="G7" s="215" t="s">
        <v>13459</v>
      </c>
      <c r="H7" s="356">
        <v>0</v>
      </c>
      <c r="I7" s="357" t="s">
        <v>1787</v>
      </c>
      <c r="J7" s="357" t="s">
        <v>13842</v>
      </c>
      <c r="K7" s="358"/>
      <c r="L7" s="358"/>
      <c r="M7" s="358"/>
      <c r="N7" s="358"/>
      <c r="O7" s="358"/>
      <c r="P7" s="359"/>
      <c r="Q7" s="360"/>
      <c r="R7" s="215" t="str">
        <f ca="1">IF(ISERROR($V7),"",OFFSET('Smelter Look-up'!$C$4,$V7-4,0)&amp;"")</f>
        <v>Chongyi Zhangyuan Tungsten Co., Ltd.</v>
      </c>
      <c r="S7" s="222" t="str">
        <f t="shared" ca="1" si="3"/>
        <v>CN</v>
      </c>
      <c r="T7" s="222" t="str">
        <f ca="1">IF(B7="","",IF(ISERROR(MATCH($J7,SorP!$B$1:$B$6230,0)),"",INDIRECT("'SorP'!$A$"&amp;MATCH($J7,SorP!$B$1:$B$6230,0))))</f>
        <v>CN-JX</v>
      </c>
      <c r="U7" s="238"/>
      <c r="V7" s="270">
        <f>IF(C7="",NA(),MATCH($B7&amp;$C7,'Smelter Look-up'!$J:$J,0))</f>
        <v>550</v>
      </c>
      <c r="W7" s="271"/>
      <c r="X7" s="271">
        <f t="shared" si="4"/>
        <v>0</v>
      </c>
      <c r="Y7" s="271"/>
      <c r="Z7" s="271"/>
      <c r="AB7" s="273" t="str">
        <f t="shared" si="5"/>
        <v>TungstenChongyi Zhangyuan Tungsten Co., Ltd.</v>
      </c>
    </row>
    <row r="8" spans="1:34" s="272" customFormat="1" ht="20.100000000000001" customHeight="1">
      <c r="A8" s="354" t="s">
        <v>799</v>
      </c>
      <c r="B8" s="215" t="s">
        <v>1133</v>
      </c>
      <c r="C8" s="355" t="s">
        <v>1382</v>
      </c>
      <c r="D8" s="278"/>
      <c r="E8" s="215" t="s">
        <v>1108</v>
      </c>
      <c r="F8" s="215" t="s">
        <v>799</v>
      </c>
      <c r="G8" s="215" t="s">
        <v>13459</v>
      </c>
      <c r="H8" s="356">
        <v>0</v>
      </c>
      <c r="I8" s="357" t="s">
        <v>2151</v>
      </c>
      <c r="J8" s="357" t="s">
        <v>1582</v>
      </c>
      <c r="K8" s="358"/>
      <c r="L8" s="358"/>
      <c r="M8" s="358"/>
      <c r="N8" s="358"/>
      <c r="O8" s="358"/>
      <c r="P8" s="359"/>
      <c r="Q8" s="360"/>
      <c r="R8" s="215" t="str">
        <f ca="1">IF(ISERROR($V8),"",OFFSET('Smelter Look-up'!$C$4,$V8-4,0)&amp;"")</f>
        <v>Japan New Metals Co., Ltd.</v>
      </c>
      <c r="S8" s="222" t="str">
        <f t="shared" ca="1" si="3"/>
        <v>JP</v>
      </c>
      <c r="T8" s="222" t="str">
        <f ca="1">IF(B8="","",IF(ISERROR(MATCH($J8,SorP!$B$1:$B$6230,0)),"",INDIRECT("'SorP'!$A$"&amp;MATCH($J8,SorP!$B$1:$B$6230,0))))</f>
        <v>JP-05</v>
      </c>
      <c r="U8" s="238"/>
      <c r="V8" s="270">
        <f>IF(C8="",NA(),MATCH($B8&amp;$C8,'Smelter Look-up'!$J:$J,0))</f>
        <v>572</v>
      </c>
      <c r="W8" s="271"/>
      <c r="X8" s="271">
        <f t="shared" si="4"/>
        <v>0</v>
      </c>
      <c r="Y8" s="271"/>
      <c r="Z8" s="271"/>
      <c r="AB8" s="273" t="str">
        <f t="shared" si="5"/>
        <v>TungstenJapan New Metals Co., Ltd.</v>
      </c>
    </row>
    <row r="9" spans="1:34" s="272" customFormat="1" ht="20.100000000000001" customHeight="1">
      <c r="A9" s="354" t="s">
        <v>803</v>
      </c>
      <c r="B9" s="215" t="s">
        <v>1133</v>
      </c>
      <c r="C9" s="355" t="s">
        <v>1383</v>
      </c>
      <c r="D9" s="278"/>
      <c r="E9" s="215" t="s">
        <v>1100</v>
      </c>
      <c r="F9" s="215" t="s">
        <v>803</v>
      </c>
      <c r="G9" s="215" t="s">
        <v>13459</v>
      </c>
      <c r="H9" s="356">
        <v>0</v>
      </c>
      <c r="I9" s="357" t="s">
        <v>1848</v>
      </c>
      <c r="J9" s="357" t="s">
        <v>13841</v>
      </c>
      <c r="K9" s="358"/>
      <c r="L9" s="358"/>
      <c r="M9" s="358"/>
      <c r="N9" s="358"/>
      <c r="O9" s="358"/>
      <c r="P9" s="359"/>
      <c r="Q9" s="360"/>
      <c r="R9" s="215" t="str">
        <f ca="1">IF(ISERROR($V9),"",OFFSET('Smelter Look-up'!$C$4,$V9-4,0)&amp;"")</f>
        <v>Xiamen Tungsten Co., Ltd.</v>
      </c>
      <c r="S9" s="222" t="str">
        <f t="shared" ca="1" si="3"/>
        <v>CN</v>
      </c>
      <c r="T9" s="222" t="str">
        <f ca="1">IF(B9="","",IF(ISERROR(MATCH($J9,SorP!$B$1:$B$6230,0)),"",INDIRECT("'SorP'!$A$"&amp;MATCH($J9,SorP!$B$1:$B$6230,0))))</f>
        <v>CN-FJ</v>
      </c>
      <c r="U9" s="238"/>
      <c r="V9" s="270">
        <f>IF(C9="",NA(),MATCH($B9&amp;$C9,'Smelter Look-up'!$J:$J,0))</f>
        <v>605</v>
      </c>
      <c r="W9" s="271"/>
      <c r="X9" s="271">
        <f t="shared" si="4"/>
        <v>0</v>
      </c>
      <c r="Y9" s="271"/>
      <c r="Z9" s="271"/>
      <c r="AB9" s="273" t="str">
        <f t="shared" si="5"/>
        <v>TungstenXiamen Tungsten Co., Ltd.</v>
      </c>
    </row>
    <row r="10" spans="1:34" s="272" customFormat="1" ht="20.100000000000001" customHeight="1">
      <c r="A10" s="354" t="s">
        <v>143</v>
      </c>
      <c r="B10" s="215" t="s">
        <v>1133</v>
      </c>
      <c r="C10" s="355" t="s">
        <v>154</v>
      </c>
      <c r="D10" s="278"/>
      <c r="E10" s="215" t="s">
        <v>1100</v>
      </c>
      <c r="F10" s="215" t="s">
        <v>143</v>
      </c>
      <c r="G10" s="215" t="s">
        <v>13459</v>
      </c>
      <c r="H10" s="356">
        <v>0</v>
      </c>
      <c r="I10" s="357" t="s">
        <v>1850</v>
      </c>
      <c r="J10" s="357" t="s">
        <v>13842</v>
      </c>
      <c r="K10" s="358"/>
      <c r="L10" s="358"/>
      <c r="M10" s="358"/>
      <c r="N10" s="358"/>
      <c r="O10" s="358"/>
      <c r="P10" s="359"/>
      <c r="Q10" s="360"/>
      <c r="R10" s="215" t="str">
        <f ca="1">IF(ISERROR($V10),"",OFFSET('Smelter Look-up'!$C$4,$V10-4,0)&amp;"")</f>
        <v>Jiangxi Tonggu Non-ferrous Metallurgical &amp; Chemical Co., Ltd.</v>
      </c>
      <c r="S10" s="222" t="str">
        <f t="shared" ca="1" si="3"/>
        <v>CN</v>
      </c>
      <c r="T10" s="222" t="str">
        <f ca="1">IF(B10="","",IF(ISERROR(MATCH($J10,SorP!$B$1:$B$6230,0)),"",INDIRECT("'SorP'!$A$"&amp;MATCH($J10,SorP!$B$1:$B$6230,0))))</f>
        <v>CN-JX</v>
      </c>
      <c r="U10" s="238"/>
      <c r="V10" s="270">
        <f>IF(C10="",NA(),MATCH($B10&amp;$C10,'Smelter Look-up'!$J:$J,0))</f>
        <v>576</v>
      </c>
      <c r="W10" s="271"/>
      <c r="X10" s="271">
        <f t="shared" si="4"/>
        <v>0</v>
      </c>
      <c r="Y10" s="271"/>
      <c r="Z10" s="271"/>
      <c r="AB10" s="273" t="str">
        <f t="shared" si="5"/>
        <v>TungstenJiangxi Tonggu Non-ferrous Metallurgical &amp; Chemical Co., Ltd.</v>
      </c>
    </row>
    <row r="11" spans="1:34" s="272" customFormat="1" ht="20.100000000000001" customHeight="1">
      <c r="A11" s="354" t="s">
        <v>145</v>
      </c>
      <c r="B11" s="215" t="s">
        <v>1133</v>
      </c>
      <c r="C11" s="355" t="s">
        <v>156</v>
      </c>
      <c r="D11" s="278"/>
      <c r="E11" s="215" t="s">
        <v>1100</v>
      </c>
      <c r="F11" s="215" t="s">
        <v>145</v>
      </c>
      <c r="G11" s="215" t="s">
        <v>13459</v>
      </c>
      <c r="H11" s="356">
        <v>0</v>
      </c>
      <c r="I11" s="357" t="s">
        <v>1848</v>
      </c>
      <c r="J11" s="357" t="s">
        <v>13841</v>
      </c>
      <c r="K11" s="358"/>
      <c r="L11" s="358"/>
      <c r="M11" s="358"/>
      <c r="N11" s="358"/>
      <c r="O11" s="358"/>
      <c r="P11" s="359"/>
      <c r="Q11" s="360"/>
      <c r="R11" s="215" t="str">
        <f ca="1">IF(ISERROR($V11),"",OFFSET('Smelter Look-up'!$C$4,$V11-4,0)&amp;"")</f>
        <v>Xiamen Tungsten (H.C.) Co., Ltd.</v>
      </c>
      <c r="S11" s="222" t="str">
        <f t="shared" ca="1" si="3"/>
        <v>CN</v>
      </c>
      <c r="T11" s="222" t="str">
        <f ca="1">IF(B11="","",IF(ISERROR(MATCH($J11,SorP!$B$1:$B$6230,0)),"",INDIRECT("'SorP'!$A$"&amp;MATCH($J11,SorP!$B$1:$B$6230,0))))</f>
        <v>CN-FJ</v>
      </c>
      <c r="U11" s="238"/>
      <c r="V11" s="270">
        <f>IF(C11="",NA(),MATCH($B11&amp;$C11,'Smelter Look-up'!$J:$J,0))</f>
        <v>604</v>
      </c>
      <c r="W11" s="271"/>
      <c r="X11" s="271">
        <f t="shared" si="4"/>
        <v>0</v>
      </c>
      <c r="Y11" s="271"/>
      <c r="Z11" s="271"/>
      <c r="AB11" s="273" t="str">
        <f t="shared" si="5"/>
        <v>TungstenXiamen Tungsten (H.C.) Co., Ltd.</v>
      </c>
    </row>
    <row r="12" spans="1:34" s="272" customFormat="1" ht="20.100000000000001" customHeight="1">
      <c r="A12" s="354" t="s">
        <v>393</v>
      </c>
      <c r="B12" s="215" t="s">
        <v>1133</v>
      </c>
      <c r="C12" s="355" t="s">
        <v>392</v>
      </c>
      <c r="D12" s="278"/>
      <c r="E12" s="215" t="s">
        <v>1100</v>
      </c>
      <c r="F12" s="215" t="s">
        <v>393</v>
      </c>
      <c r="G12" s="215" t="s">
        <v>13459</v>
      </c>
      <c r="H12" s="356">
        <v>0</v>
      </c>
      <c r="I12" s="357" t="s">
        <v>1787</v>
      </c>
      <c r="J12" s="357" t="s">
        <v>13842</v>
      </c>
      <c r="K12" s="358"/>
      <c r="L12" s="358"/>
      <c r="M12" s="358"/>
      <c r="N12" s="358"/>
      <c r="O12" s="358"/>
      <c r="P12" s="359"/>
      <c r="Q12" s="360"/>
      <c r="R12" s="215" t="str">
        <f ca="1">IF(ISERROR($V12),"",OFFSET('Smelter Look-up'!$C$4,$V12-4,0)&amp;"")</f>
        <v>Ganzhou Seadragon W &amp; Mo Co., Ltd.</v>
      </c>
      <c r="S12" s="222" t="str">
        <f t="shared" ca="1" si="3"/>
        <v>CN</v>
      </c>
      <c r="T12" s="222" t="str">
        <f ca="1">IF(B12="","",IF(ISERROR(MATCH($J12,SorP!$B$1:$B$6230,0)),"",INDIRECT("'SorP'!$A$"&amp;MATCH($J12,SorP!$B$1:$B$6230,0))))</f>
        <v>CN-JX</v>
      </c>
      <c r="U12" s="238"/>
      <c r="V12" s="270">
        <f>IF(C12="",NA(),MATCH($B12&amp;$C12,'Smelter Look-up'!$J:$J,0))</f>
        <v>558</v>
      </c>
      <c r="W12" s="271"/>
      <c r="X12" s="271">
        <f t="shared" si="4"/>
        <v>0</v>
      </c>
      <c r="Y12" s="271"/>
      <c r="Z12" s="271"/>
      <c r="AB12" s="273" t="str">
        <f t="shared" si="5"/>
        <v>TungstenGanzhou Seadragon W &amp; Mo Co., Ltd.</v>
      </c>
    </row>
    <row r="13" spans="1:34" s="272" customFormat="1" ht="20.100000000000001" customHeight="1">
      <c r="A13" s="354" t="s">
        <v>1406</v>
      </c>
      <c r="B13" s="215" t="s">
        <v>1133</v>
      </c>
      <c r="C13" s="355" t="s">
        <v>1405</v>
      </c>
      <c r="D13" s="278"/>
      <c r="E13" s="215" t="s">
        <v>1100</v>
      </c>
      <c r="F13" s="215" t="s">
        <v>1406</v>
      </c>
      <c r="G13" s="215" t="s">
        <v>13459</v>
      </c>
      <c r="H13" s="356">
        <v>0</v>
      </c>
      <c r="I13" s="357" t="s">
        <v>1788</v>
      </c>
      <c r="J13" s="357" t="s">
        <v>13846</v>
      </c>
      <c r="K13" s="358"/>
      <c r="L13" s="358"/>
      <c r="M13" s="358"/>
      <c r="N13" s="358"/>
      <c r="O13" s="358"/>
      <c r="P13" s="359"/>
      <c r="Q13" s="360"/>
      <c r="R13" s="215" t="str">
        <f ca="1">IF(ISERROR($V13),"",OFFSET('Smelter Look-up'!$C$4,$V13-4,0)&amp;"")</f>
        <v>Chenzhou Diamond Tungsten Products Co., Ltd.</v>
      </c>
      <c r="S13" s="222" t="str">
        <f t="shared" ca="1" si="3"/>
        <v>CN</v>
      </c>
      <c r="T13" s="222" t="str">
        <f ca="1">IF(B13="","",IF(ISERROR(MATCH($J13,SorP!$B$1:$B$6230,0)),"",INDIRECT("'SorP'!$A$"&amp;MATCH($J13,SorP!$B$1:$B$6230,0))))</f>
        <v>CN-HN</v>
      </c>
      <c r="U13" s="238"/>
      <c r="V13" s="270">
        <f>IF(C13="",NA(),MATCH($B13&amp;$C13,'Smelter Look-up'!$J:$J,0))</f>
        <v>545</v>
      </c>
      <c r="W13" s="271"/>
      <c r="X13" s="271">
        <f t="shared" si="4"/>
        <v>0</v>
      </c>
      <c r="Y13" s="271"/>
      <c r="Z13" s="271"/>
      <c r="AB13" s="273" t="str">
        <f t="shared" si="5"/>
        <v>TungstenChenzhou Diamond Tungsten Products Co., Ltd.</v>
      </c>
    </row>
    <row r="14" spans="1:34" s="272" customFormat="1" ht="20.100000000000001" customHeight="1">
      <c r="A14" s="354" t="s">
        <v>1428</v>
      </c>
      <c r="B14" s="215" t="s">
        <v>1133</v>
      </c>
      <c r="C14" s="355" t="s">
        <v>2570</v>
      </c>
      <c r="D14" s="278"/>
      <c r="E14" s="215" t="s">
        <v>1101</v>
      </c>
      <c r="F14" s="215" t="s">
        <v>1428</v>
      </c>
      <c r="G14" s="215" t="s">
        <v>13459</v>
      </c>
      <c r="H14" s="356">
        <v>0</v>
      </c>
      <c r="I14" s="357" t="s">
        <v>1761</v>
      </c>
      <c r="J14" s="357" t="s">
        <v>4284</v>
      </c>
      <c r="K14" s="358"/>
      <c r="L14" s="358"/>
      <c r="M14" s="358"/>
      <c r="N14" s="358"/>
      <c r="O14" s="358"/>
      <c r="P14" s="359"/>
      <c r="Q14" s="360"/>
      <c r="R14" s="215" t="str">
        <f ca="1">IF(ISERROR($V14),"",OFFSET('Smelter Look-up'!$C$4,$V14-4,0)&amp;"")</f>
        <v>H.C. Starck Tungsten GmbH</v>
      </c>
      <c r="S14" s="222" t="str">
        <f t="shared" ca="1" si="3"/>
        <v>DE</v>
      </c>
      <c r="T14" s="222" t="str">
        <f ca="1">IF(B14="","",IF(ISERROR(MATCH($J14,SorP!$B$1:$B$6230,0)),"",INDIRECT("'SorP'!$A$"&amp;MATCH($J14,SorP!$B$1:$B$6230,0))))</f>
        <v>DE-NI</v>
      </c>
      <c r="U14" s="238"/>
      <c r="V14" s="270">
        <f>IF(C14="",NA(),MATCH($B14&amp;$C14,'Smelter Look-up'!$J:$J,0))</f>
        <v>564</v>
      </c>
      <c r="W14" s="271"/>
      <c r="X14" s="271">
        <f t="shared" si="4"/>
        <v>0</v>
      </c>
      <c r="Y14" s="271"/>
      <c r="Z14" s="271"/>
      <c r="AB14" s="273" t="str">
        <f t="shared" si="5"/>
        <v>TungstenH.C. Starck Tungsten GmbH</v>
      </c>
    </row>
    <row r="15" spans="1:34" s="272" customFormat="1" ht="20.100000000000001" customHeight="1">
      <c r="A15" s="354" t="s">
        <v>1432</v>
      </c>
      <c r="B15" s="215" t="s">
        <v>1133</v>
      </c>
      <c r="C15" s="355" t="s">
        <v>15416</v>
      </c>
      <c r="D15" s="278"/>
      <c r="E15" s="215" t="s">
        <v>892</v>
      </c>
      <c r="F15" s="215" t="s">
        <v>1432</v>
      </c>
      <c r="G15" s="215" t="s">
        <v>13459</v>
      </c>
      <c r="H15" s="356">
        <v>0</v>
      </c>
      <c r="I15" s="357" t="s">
        <v>1855</v>
      </c>
      <c r="J15" s="357" t="s">
        <v>12344</v>
      </c>
      <c r="K15" s="358"/>
      <c r="L15" s="358"/>
      <c r="M15" s="358"/>
      <c r="N15" s="358"/>
      <c r="O15" s="358"/>
      <c r="P15" s="359"/>
      <c r="Q15" s="360"/>
      <c r="R15" s="215" t="str">
        <f ca="1">IF(ISERROR($V15),"",OFFSET('Smelter Look-up'!$C$4,$V15-4,0)&amp;"")</f>
        <v>Masan High-Tech Materials</v>
      </c>
      <c r="S15" s="222" t="str">
        <f t="shared" ca="1" si="3"/>
        <v>VN</v>
      </c>
      <c r="T15" s="222" t="str">
        <f ca="1">IF(B15="","",IF(ISERROR(MATCH($J15,SorP!$B$1:$B$6230,0)),"",INDIRECT("'SorP'!$A$"&amp;MATCH($J15,SorP!$B$1:$B$6230,0))))</f>
        <v>VN-69</v>
      </c>
      <c r="U15" s="238"/>
      <c r="V15" s="270">
        <f>IF(C15="",NA(),MATCH($B15&amp;$C15,'Smelter Look-up'!$J:$J,0))</f>
        <v>587</v>
      </c>
      <c r="W15" s="271"/>
      <c r="X15" s="271">
        <f t="shared" si="4"/>
        <v>0</v>
      </c>
      <c r="Y15" s="271"/>
      <c r="Z15" s="271"/>
      <c r="AB15" s="273" t="str">
        <f t="shared" si="5"/>
        <v>TungstenMasan High-Tech Materials</v>
      </c>
    </row>
    <row r="16" spans="1:34" s="272" customFormat="1" ht="20.100000000000001" customHeight="1">
      <c r="A16" s="354" t="s">
        <v>1431</v>
      </c>
      <c r="B16" s="215" t="s">
        <v>1133</v>
      </c>
      <c r="C16" s="355" t="s">
        <v>1430</v>
      </c>
      <c r="D16" s="278"/>
      <c r="E16" s="215" t="s">
        <v>1100</v>
      </c>
      <c r="F16" s="215" t="s">
        <v>1431</v>
      </c>
      <c r="G16" s="215" t="s">
        <v>13459</v>
      </c>
      <c r="H16" s="356">
        <v>0</v>
      </c>
      <c r="I16" s="357" t="s">
        <v>1787</v>
      </c>
      <c r="J16" s="357" t="s">
        <v>13842</v>
      </c>
      <c r="K16" s="358"/>
      <c r="L16" s="358"/>
      <c r="M16" s="358"/>
      <c r="N16" s="358"/>
      <c r="O16" s="358"/>
      <c r="P16" s="359"/>
      <c r="Q16" s="360"/>
      <c r="R16" s="215" t="str">
        <f ca="1">IF(ISERROR($V16),"",OFFSET('Smelter Look-up'!$C$4,$V16-4,0)&amp;"")</f>
        <v>Jiangwu H.C. Starck Tungsten Products Co., Ltd.</v>
      </c>
      <c r="S16" s="222" t="str">
        <f t="shared" ca="1" si="3"/>
        <v>CN</v>
      </c>
      <c r="T16" s="222" t="str">
        <f ca="1">IF(B16="","",IF(ISERROR(MATCH($J16,SorP!$B$1:$B$6230,0)),"",INDIRECT("'SorP'!$A$"&amp;MATCH($J16,SorP!$B$1:$B$6230,0))))</f>
        <v>CN-JX</v>
      </c>
      <c r="U16" s="238"/>
      <c r="V16" s="270">
        <f>IF(C16="",NA(),MATCH($B16&amp;$C16,'Smelter Look-up'!$J:$J,0))</f>
        <v>573</v>
      </c>
      <c r="W16" s="271"/>
      <c r="X16" s="271">
        <f t="shared" si="4"/>
        <v>0</v>
      </c>
      <c r="Y16" s="271"/>
      <c r="Z16" s="271"/>
      <c r="AB16" s="273" t="str">
        <f t="shared" si="5"/>
        <v>TungstenJiangwu H.C. Starck Tungsten Products Co., Ltd.</v>
      </c>
    </row>
    <row r="17" spans="1:28" s="272" customFormat="1" ht="20.100000000000001" customHeight="1">
      <c r="A17" s="354" t="s">
        <v>2557</v>
      </c>
      <c r="B17" s="215" t="s">
        <v>1132</v>
      </c>
      <c r="C17" s="355" t="s">
        <v>2157</v>
      </c>
      <c r="D17" s="278"/>
      <c r="E17" s="215" t="s">
        <v>1108</v>
      </c>
      <c r="F17" s="215" t="s">
        <v>2557</v>
      </c>
      <c r="G17" s="215" t="s">
        <v>13459</v>
      </c>
      <c r="H17" s="356">
        <v>0</v>
      </c>
      <c r="I17" s="357" t="s">
        <v>1560</v>
      </c>
      <c r="J17" s="357" t="s">
        <v>1561</v>
      </c>
      <c r="K17" s="358"/>
      <c r="L17" s="358"/>
      <c r="M17" s="358"/>
      <c r="N17" s="358"/>
      <c r="O17" s="358"/>
      <c r="P17" s="359"/>
      <c r="Q17" s="360"/>
      <c r="R17" s="215" t="str">
        <f ca="1">IF(ISERROR($V17),"",OFFSET('Smelter Look-up'!$C$4,$V17-4,0)&amp;"")</f>
        <v>Asaka Riken Co., Ltd.</v>
      </c>
      <c r="S17" s="222" t="str">
        <f t="shared" ca="1" si="3"/>
        <v>JP</v>
      </c>
      <c r="T17" s="222" t="str">
        <f ca="1">IF(B17="","",IF(ISERROR(MATCH($J17,SorP!$B$1:$B$6230,0)),"",INDIRECT("'SorP'!$A$"&amp;MATCH($J17,SorP!$B$1:$B$6230,0))))</f>
        <v>JP-07</v>
      </c>
      <c r="U17" s="238"/>
      <c r="V17" s="270">
        <f>IF(C17="",NA(),MATCH($B17&amp;$C17,'Smelter Look-up'!$J:$J,0))</f>
        <v>315</v>
      </c>
      <c r="W17" s="271"/>
      <c r="X17" s="271">
        <f t="shared" si="4"/>
        <v>0</v>
      </c>
      <c r="Y17" s="271"/>
      <c r="Z17" s="271"/>
      <c r="AB17" s="273" t="str">
        <f t="shared" si="5"/>
        <v>TantalumAsaka Riken Co., Ltd.</v>
      </c>
    </row>
    <row r="18" spans="1:28" s="272" customFormat="1" ht="20.100000000000001" customHeight="1">
      <c r="A18" s="354" t="s">
        <v>747</v>
      </c>
      <c r="B18" s="215" t="s">
        <v>1132</v>
      </c>
      <c r="C18" s="355" t="s">
        <v>2</v>
      </c>
      <c r="D18" s="278"/>
      <c r="E18" s="215" t="s">
        <v>1100</v>
      </c>
      <c r="F18" s="215" t="s">
        <v>747</v>
      </c>
      <c r="G18" s="215" t="s">
        <v>13459</v>
      </c>
      <c r="H18" s="356">
        <v>0</v>
      </c>
      <c r="I18" s="357" t="s">
        <v>1597</v>
      </c>
      <c r="J18" s="357" t="s">
        <v>13846</v>
      </c>
      <c r="K18" s="358"/>
      <c r="L18" s="358"/>
      <c r="M18" s="358"/>
      <c r="N18" s="358"/>
      <c r="O18" s="358"/>
      <c r="P18" s="359"/>
      <c r="Q18" s="360"/>
      <c r="R18" s="215" t="str">
        <f ca="1">IF(ISERROR($V18),"",OFFSET('Smelter Look-up'!$C$4,$V18-4,0)&amp;"")</f>
        <v>Changsha South Tantalum Niobium Co., Ltd.</v>
      </c>
      <c r="S18" s="222" t="str">
        <f t="shared" ca="1" si="3"/>
        <v>CN</v>
      </c>
      <c r="T18" s="222" t="str">
        <f ca="1">IF(B18="","",IF(ISERROR(MATCH($J18,SorP!$B$1:$B$6230,0)),"",INDIRECT("'SorP'!$A$"&amp;MATCH($J18,SorP!$B$1:$B$6230,0))))</f>
        <v>CN-HN</v>
      </c>
      <c r="U18" s="238"/>
      <c r="V18" s="270">
        <f>IF(C18="",NA(),MATCH($B18&amp;$C18,'Smelter Look-up'!$J:$J,0))</f>
        <v>316</v>
      </c>
      <c r="W18" s="271"/>
      <c r="X18" s="271">
        <f t="shared" si="4"/>
        <v>0</v>
      </c>
      <c r="Y18" s="271"/>
      <c r="Z18" s="271"/>
      <c r="AB18" s="273" t="str">
        <f t="shared" si="5"/>
        <v>TantalumChangsha South Tantalum Niobium Co., Ltd.</v>
      </c>
    </row>
    <row r="19" spans="1:28" s="272" customFormat="1" ht="38.25">
      <c r="A19" s="354" t="s">
        <v>748</v>
      </c>
      <c r="B19" s="215" t="s">
        <v>1132</v>
      </c>
      <c r="C19" s="355" t="s">
        <v>1118</v>
      </c>
      <c r="D19" s="278"/>
      <c r="E19" s="215" t="s">
        <v>2463</v>
      </c>
      <c r="F19" s="215" t="s">
        <v>748</v>
      </c>
      <c r="G19" s="215" t="s">
        <v>13459</v>
      </c>
      <c r="H19" s="356">
        <v>0</v>
      </c>
      <c r="I19" s="357" t="s">
        <v>1727</v>
      </c>
      <c r="J19" s="357" t="s">
        <v>1706</v>
      </c>
      <c r="K19" s="358"/>
      <c r="L19" s="358"/>
      <c r="M19" s="358"/>
      <c r="N19" s="358"/>
      <c r="O19" s="358"/>
      <c r="P19" s="359"/>
      <c r="Q19" s="360"/>
      <c r="R19" s="215" t="str">
        <f ca="1">IF(ISERROR($V19),"",OFFSET('Smelter Look-up'!$C$4,$V19-4,0)&amp;"")</f>
        <v>Exotech Inc.</v>
      </c>
      <c r="S19" s="222" t="str">
        <f t="shared" ca="1" si="3"/>
        <v>US</v>
      </c>
      <c r="T19" s="222" t="str">
        <f ca="1">IF(B19="","",IF(ISERROR(MATCH($J19,SorP!$B$1:$B$6230,0)),"",INDIRECT("'SorP'!$A$"&amp;MATCH($J19,SorP!$B$1:$B$6230,0))))</f>
        <v>US-FL</v>
      </c>
      <c r="U19" s="238"/>
      <c r="V19" s="270">
        <f>IF(C19="",NA(),MATCH($B19&amp;$C19,'Smelter Look-up'!$J:$J,0))</f>
        <v>319</v>
      </c>
      <c r="W19" s="271"/>
      <c r="X19" s="271">
        <f t="shared" si="4"/>
        <v>0</v>
      </c>
      <c r="Y19" s="271"/>
      <c r="Z19" s="271"/>
      <c r="AB19" s="273" t="str">
        <f t="shared" si="5"/>
        <v>TantalumExotech Inc.</v>
      </c>
    </row>
    <row r="20" spans="1:28" s="272" customFormat="1" ht="63.75">
      <c r="A20" s="354" t="s">
        <v>749</v>
      </c>
      <c r="B20" s="215" t="s">
        <v>1132</v>
      </c>
      <c r="C20" s="355" t="s">
        <v>45</v>
      </c>
      <c r="D20" s="278"/>
      <c r="E20" s="215" t="s">
        <v>1100</v>
      </c>
      <c r="F20" s="215" t="s">
        <v>749</v>
      </c>
      <c r="G20" s="215" t="s">
        <v>13459</v>
      </c>
      <c r="H20" s="356">
        <v>0</v>
      </c>
      <c r="I20" s="357" t="s">
        <v>1728</v>
      </c>
      <c r="J20" s="357" t="s">
        <v>13847</v>
      </c>
      <c r="K20" s="358"/>
      <c r="L20" s="358"/>
      <c r="M20" s="358"/>
      <c r="N20" s="358"/>
      <c r="O20" s="358"/>
      <c r="P20" s="359"/>
      <c r="Q20" s="360"/>
      <c r="R20" s="215" t="str">
        <f ca="1">IF(ISERROR($V20),"",OFFSET('Smelter Look-up'!$C$4,$V20-4,0)&amp;"")</f>
        <v>F&amp;X Electro-Materials Ltd.</v>
      </c>
      <c r="S20" s="222" t="str">
        <f t="shared" ca="1" si="3"/>
        <v>CN</v>
      </c>
      <c r="T20" s="222" t="str">
        <f ca="1">IF(B20="","",IF(ISERROR(MATCH($J20,SorP!$B$1:$B$6230,0)),"",INDIRECT("'SorP'!$A$"&amp;MATCH($J20,SorP!$B$1:$B$6230,0))))</f>
        <v>CN-GD</v>
      </c>
      <c r="U20" s="238"/>
      <c r="V20" s="270">
        <f>IF(C20="",NA(),MATCH($B20&amp;$C20,'Smelter Look-up'!$J:$J,0))</f>
        <v>321</v>
      </c>
      <c r="W20" s="271"/>
      <c r="X20" s="271">
        <f t="shared" si="4"/>
        <v>0</v>
      </c>
      <c r="Y20" s="271"/>
      <c r="Z20" s="271"/>
      <c r="AB20" s="273" t="str">
        <f t="shared" si="5"/>
        <v>TantalumF&amp;X Electro-Materials Ltd.</v>
      </c>
    </row>
    <row r="21" spans="1:28" s="272" customFormat="1" ht="89.25">
      <c r="A21" s="354" t="s">
        <v>751</v>
      </c>
      <c r="B21" s="215" t="s">
        <v>1132</v>
      </c>
      <c r="C21" s="355" t="s">
        <v>15358</v>
      </c>
      <c r="D21" s="278"/>
      <c r="E21" s="215" t="s">
        <v>1100</v>
      </c>
      <c r="F21" s="215" t="s">
        <v>751</v>
      </c>
      <c r="G21" s="215" t="s">
        <v>13459</v>
      </c>
      <c r="H21" s="356">
        <v>0</v>
      </c>
      <c r="I21" s="357" t="s">
        <v>1730</v>
      </c>
      <c r="J21" s="357" t="s">
        <v>13847</v>
      </c>
      <c r="K21" s="358"/>
      <c r="L21" s="358"/>
      <c r="M21" s="358"/>
      <c r="N21" s="358"/>
      <c r="O21" s="358"/>
      <c r="P21" s="359"/>
      <c r="Q21" s="360"/>
      <c r="R21" s="215" t="str">
        <f ca="1">IF(ISERROR($V21),"",OFFSET('Smelter Look-up'!$C$4,$V21-4,0)&amp;"")</f>
        <v>XIMEI RESOURCES (GUANGDONG) LIMITED</v>
      </c>
      <c r="S21" s="222" t="str">
        <f t="shared" ca="1" si="3"/>
        <v>CN</v>
      </c>
      <c r="T21" s="222" t="str">
        <f ca="1">IF(B21="","",IF(ISERROR(MATCH($J21,SorP!$B$1:$B$6230,0)),"",INDIRECT("'SorP'!$A$"&amp;MATCH($J21,SorP!$B$1:$B$6230,0))))</f>
        <v>CN-GD</v>
      </c>
      <c r="U21" s="238"/>
      <c r="V21" s="270">
        <f>IF(C21="",NA(),MATCH($B21&amp;$C21,'Smelter Look-up'!$J:$J,0))</f>
        <v>375</v>
      </c>
      <c r="W21" s="271"/>
      <c r="X21" s="271">
        <f t="shared" si="4"/>
        <v>0</v>
      </c>
      <c r="Y21" s="271"/>
      <c r="Z21" s="271"/>
      <c r="AB21" s="273" t="str">
        <f t="shared" si="5"/>
        <v>TantalumXIMEI RESOURCES (GUANGDONG) LIMITED</v>
      </c>
    </row>
    <row r="22" spans="1:28" s="272" customFormat="1" ht="102">
      <c r="A22" s="354" t="s">
        <v>752</v>
      </c>
      <c r="B22" s="215" t="s">
        <v>1132</v>
      </c>
      <c r="C22" s="355" t="s">
        <v>4</v>
      </c>
      <c r="D22" s="278"/>
      <c r="E22" s="215" t="s">
        <v>1100</v>
      </c>
      <c r="F22" s="215" t="s">
        <v>752</v>
      </c>
      <c r="G22" s="215" t="s">
        <v>13459</v>
      </c>
      <c r="H22" s="356">
        <v>0</v>
      </c>
      <c r="I22" s="357" t="s">
        <v>1731</v>
      </c>
      <c r="J22" s="357" t="s">
        <v>13842</v>
      </c>
      <c r="K22" s="358"/>
      <c r="L22" s="358"/>
      <c r="M22" s="358"/>
      <c r="N22" s="358"/>
      <c r="O22" s="358"/>
      <c r="P22" s="359"/>
      <c r="Q22" s="360"/>
      <c r="R22" s="215" t="str">
        <f ca="1">IF(ISERROR($V22),"",OFFSET('Smelter Look-up'!$C$4,$V22-4,0)&amp;"")</f>
        <v>JiuJiang JinXin Nonferrous Metals Co., Ltd.</v>
      </c>
      <c r="S22" s="222" t="str">
        <f t="shared" ca="1" si="3"/>
        <v>CN</v>
      </c>
      <c r="T22" s="222" t="str">
        <f ca="1">IF(B22="","",IF(ISERROR(MATCH($J22,SorP!$B$1:$B$6230,0)),"",INDIRECT("'SorP'!$A$"&amp;MATCH($J22,SorP!$B$1:$B$6230,0))))</f>
        <v>CN-JX</v>
      </c>
      <c r="U22" s="238"/>
      <c r="V22" s="270">
        <f>IF(C22="",NA(),MATCH($B22&amp;$C22,'Smelter Look-up'!$J:$J,0))</f>
        <v>335</v>
      </c>
      <c r="W22" s="271"/>
      <c r="X22" s="271">
        <f t="shared" si="4"/>
        <v>0</v>
      </c>
      <c r="Y22" s="271"/>
      <c r="Z22" s="271"/>
      <c r="AB22" s="273" t="str">
        <f t="shared" si="5"/>
        <v>TantalumJiuJiang JinXin Nonferrous Metals Co., Ltd.</v>
      </c>
    </row>
    <row r="23" spans="1:28" s="272" customFormat="1" ht="76.5">
      <c r="A23" s="354" t="s">
        <v>753</v>
      </c>
      <c r="B23" s="215" t="s">
        <v>1132</v>
      </c>
      <c r="C23" s="355" t="s">
        <v>46</v>
      </c>
      <c r="D23" s="278"/>
      <c r="E23" s="215" t="s">
        <v>1100</v>
      </c>
      <c r="F23" s="215" t="s">
        <v>753</v>
      </c>
      <c r="G23" s="215" t="s">
        <v>13459</v>
      </c>
      <c r="H23" s="356">
        <v>0</v>
      </c>
      <c r="I23" s="357" t="s">
        <v>1731</v>
      </c>
      <c r="J23" s="357" t="s">
        <v>13842</v>
      </c>
      <c r="K23" s="358"/>
      <c r="L23" s="358"/>
      <c r="M23" s="358"/>
      <c r="N23" s="358"/>
      <c r="O23" s="358"/>
      <c r="P23" s="359"/>
      <c r="Q23" s="360"/>
      <c r="R23" s="215" t="str">
        <f ca="1">IF(ISERROR($V23),"",OFFSET('Smelter Look-up'!$C$4,$V23-4,0)&amp;"")</f>
        <v>Jiujiang Tanbre Co., Ltd.</v>
      </c>
      <c r="S23" s="222" t="str">
        <f t="shared" ca="1" si="3"/>
        <v>CN</v>
      </c>
      <c r="T23" s="222" t="str">
        <f ca="1">IF(B23="","",IF(ISERROR(MATCH($J23,SorP!$B$1:$B$6230,0)),"",INDIRECT("'SorP'!$A$"&amp;MATCH($J23,SorP!$B$1:$B$6230,0))))</f>
        <v>CN-JX</v>
      </c>
      <c r="U23" s="238"/>
      <c r="V23" s="270">
        <f>IF(C23="",NA(),MATCH($B23&amp;$C23,'Smelter Look-up'!$J:$J,0))</f>
        <v>337</v>
      </c>
      <c r="W23" s="271"/>
      <c r="X23" s="271">
        <f t="shared" si="4"/>
        <v>0</v>
      </c>
      <c r="Y23" s="271"/>
      <c r="Z23" s="271"/>
      <c r="AB23" s="273" t="str">
        <f t="shared" si="5"/>
        <v>TantalumJiujiang Tanbre Co., Ltd.</v>
      </c>
    </row>
    <row r="24" spans="1:28" s="272" customFormat="1" ht="89.25">
      <c r="A24" s="354" t="s">
        <v>755</v>
      </c>
      <c r="B24" s="215" t="s">
        <v>1132</v>
      </c>
      <c r="C24" s="355" t="s">
        <v>2168</v>
      </c>
      <c r="D24" s="278"/>
      <c r="E24" s="215" t="s">
        <v>1106</v>
      </c>
      <c r="F24" s="215" t="s">
        <v>755</v>
      </c>
      <c r="G24" s="215" t="s">
        <v>13459</v>
      </c>
      <c r="H24" s="356">
        <v>0</v>
      </c>
      <c r="I24" s="357" t="s">
        <v>1733</v>
      </c>
      <c r="J24" s="357" t="s">
        <v>1734</v>
      </c>
      <c r="K24" s="358"/>
      <c r="L24" s="358"/>
      <c r="M24" s="358"/>
      <c r="N24" s="358"/>
      <c r="O24" s="358"/>
      <c r="P24" s="359"/>
      <c r="Q24" s="360"/>
      <c r="R24" s="215" t="str">
        <f ca="1">IF(ISERROR($V24),"",OFFSET('Smelter Look-up'!$C$4,$V24-4,0)&amp;"")</f>
        <v>Metallurgical Products India Pvt., Ltd.</v>
      </c>
      <c r="S24" s="222" t="str">
        <f t="shared" ca="1" si="3"/>
        <v>IN</v>
      </c>
      <c r="T24" s="222" t="str">
        <f ca="1">IF(B24="","",IF(ISERROR(MATCH($J24,SorP!$B$1:$B$6230,0)),"",INDIRECT("'SorP'!$A$"&amp;MATCH($J24,SorP!$B$1:$B$6230,0))))</f>
        <v>IN-MH</v>
      </c>
      <c r="U24" s="238"/>
      <c r="V24" s="270">
        <f>IF(C24="",NA(),MATCH($B24&amp;$C24,'Smelter Look-up'!$J:$J,0))</f>
        <v>344</v>
      </c>
      <c r="W24" s="271"/>
      <c r="X24" s="271">
        <f t="shared" si="4"/>
        <v>0</v>
      </c>
      <c r="Y24" s="271"/>
      <c r="Z24" s="271"/>
      <c r="AB24" s="273" t="str">
        <f t="shared" si="5"/>
        <v>TantalumMetallurgical Products India Pvt., Ltd.</v>
      </c>
    </row>
    <row r="25" spans="1:28" s="272" customFormat="1" ht="51">
      <c r="A25" s="354" t="s">
        <v>758</v>
      </c>
      <c r="B25" s="215" t="s">
        <v>1132</v>
      </c>
      <c r="C25" s="355" t="s">
        <v>2560</v>
      </c>
      <c r="D25" s="278"/>
      <c r="E25" s="215" t="s">
        <v>1103</v>
      </c>
      <c r="F25" s="215" t="s">
        <v>758</v>
      </c>
      <c r="G25" s="215" t="s">
        <v>13459</v>
      </c>
      <c r="H25" s="356">
        <v>0</v>
      </c>
      <c r="I25" s="357" t="s">
        <v>1740</v>
      </c>
      <c r="J25" s="357" t="s">
        <v>1741</v>
      </c>
      <c r="K25" s="358"/>
      <c r="L25" s="358"/>
      <c r="M25" s="358"/>
      <c r="N25" s="358"/>
      <c r="O25" s="358"/>
      <c r="P25" s="359"/>
      <c r="Q25" s="360"/>
      <c r="R25" s="215" t="str">
        <f ca="1">IF(ISERROR($V25),"",OFFSET('Smelter Look-up'!$C$4,$V25-4,0)&amp;"")</f>
        <v>NPM Silmet AS</v>
      </c>
      <c r="S25" s="222" t="str">
        <f t="shared" ca="1" si="3"/>
        <v>EE</v>
      </c>
      <c r="T25" s="222" t="str">
        <f ca="1">IF(B25="","",IF(ISERROR(MATCH($J25,SorP!$B$1:$B$6230,0)),"",INDIRECT("'SorP'!$A$"&amp;MATCH($J25,SorP!$B$1:$B$6230,0))))</f>
        <v>EE-44</v>
      </c>
      <c r="U25" s="238"/>
      <c r="V25" s="270">
        <f>IF(C25="",NA(),MATCH($B25&amp;$C25,'Smelter Look-up'!$J:$J,0))</f>
        <v>353</v>
      </c>
      <c r="W25" s="271"/>
      <c r="X25" s="271">
        <f t="shared" si="4"/>
        <v>0</v>
      </c>
      <c r="Y25" s="271"/>
      <c r="Z25" s="271"/>
      <c r="AB25" s="273" t="str">
        <f t="shared" si="5"/>
        <v>TantalumNPM Silmet AS</v>
      </c>
    </row>
    <row r="26" spans="1:28" s="272" customFormat="1" ht="102">
      <c r="A26" s="354" t="s">
        <v>759</v>
      </c>
      <c r="B26" s="215" t="s">
        <v>1132</v>
      </c>
      <c r="C26" s="355" t="s">
        <v>1030</v>
      </c>
      <c r="D26" s="278"/>
      <c r="E26" s="215" t="s">
        <v>1100</v>
      </c>
      <c r="F26" s="215" t="s">
        <v>759</v>
      </c>
      <c r="G26" s="215" t="s">
        <v>13459</v>
      </c>
      <c r="H26" s="356">
        <v>0</v>
      </c>
      <c r="I26" s="357" t="s">
        <v>1742</v>
      </c>
      <c r="J26" s="357" t="s">
        <v>13828</v>
      </c>
      <c r="K26" s="358"/>
      <c r="L26" s="358"/>
      <c r="M26" s="358"/>
      <c r="N26" s="358"/>
      <c r="O26" s="358"/>
      <c r="P26" s="359"/>
      <c r="Q26" s="360"/>
      <c r="R26" s="215" t="str">
        <f ca="1">IF(ISERROR($V26),"",OFFSET('Smelter Look-up'!$C$4,$V26-4,0)&amp;"")</f>
        <v>Ningxia Orient Tantalum Industry Co., Ltd.</v>
      </c>
      <c r="S26" s="222" t="str">
        <f t="shared" ca="1" si="3"/>
        <v>CN</v>
      </c>
      <c r="T26" s="222" t="str">
        <f ca="1">IF(B26="","",IF(ISERROR(MATCH($J26,SorP!$B$1:$B$6230,0)),"",INDIRECT("'SorP'!$A$"&amp;MATCH($J26,SorP!$B$1:$B$6230,0))))</f>
        <v>CN-NX</v>
      </c>
      <c r="U26" s="238"/>
      <c r="V26" s="270">
        <f>IF(C26="",NA(),MATCH($B26&amp;$C26,'Smelter Look-up'!$J:$J,0))</f>
        <v>352</v>
      </c>
      <c r="W26" s="271"/>
      <c r="X26" s="271">
        <f t="shared" si="4"/>
        <v>0</v>
      </c>
      <c r="Y26" s="271"/>
      <c r="Z26" s="271"/>
      <c r="AB26" s="273" t="str">
        <f t="shared" si="5"/>
        <v>TantalumNingxia Orient Tantalum Industry Co., Ltd.</v>
      </c>
    </row>
    <row r="27" spans="1:28" s="272" customFormat="1" ht="127.5">
      <c r="A27" s="354" t="s">
        <v>761</v>
      </c>
      <c r="B27" s="215" t="s">
        <v>1132</v>
      </c>
      <c r="C27" s="355" t="s">
        <v>13496</v>
      </c>
      <c r="D27" s="278"/>
      <c r="E27" s="215" t="s">
        <v>1100</v>
      </c>
      <c r="F27" s="215" t="s">
        <v>761</v>
      </c>
      <c r="G27" s="215" t="s">
        <v>13459</v>
      </c>
      <c r="H27" s="356">
        <v>0</v>
      </c>
      <c r="I27" s="357" t="s">
        <v>1744</v>
      </c>
      <c r="J27" s="357" t="s">
        <v>13846</v>
      </c>
      <c r="K27" s="358"/>
      <c r="L27" s="358"/>
      <c r="M27" s="358"/>
      <c r="N27" s="358"/>
      <c r="O27" s="358"/>
      <c r="P27" s="359"/>
      <c r="Q27" s="360"/>
      <c r="R27" s="215" t="str">
        <f ca="1">IF(ISERROR($V27),"",OFFSET('Smelter Look-up'!$C$4,$V27-4,0)&amp;"")</f>
        <v>Yanling Jincheng Tantalum &amp; Niobium Co., Ltd.</v>
      </c>
      <c r="S27" s="222" t="str">
        <f t="shared" ca="1" si="3"/>
        <v>CN</v>
      </c>
      <c r="T27" s="222" t="str">
        <f ca="1">IF(B27="","",IF(ISERROR(MATCH($J27,SorP!$B$1:$B$6230,0)),"",INDIRECT("'SorP'!$A$"&amp;MATCH($J27,SorP!$B$1:$B$6230,0))))</f>
        <v>CN-HN</v>
      </c>
      <c r="U27" s="238"/>
      <c r="V27" s="270">
        <f>IF(C27="",NA(),MATCH($B27&amp;$C27,'Smelter Look-up'!$J:$J,0))</f>
        <v>378</v>
      </c>
      <c r="W27" s="271"/>
      <c r="X27" s="271">
        <f t="shared" si="4"/>
        <v>0</v>
      </c>
      <c r="Y27" s="271"/>
      <c r="Z27" s="271"/>
      <c r="AB27" s="273" t="str">
        <f t="shared" si="5"/>
        <v>TantalumYanling Jincheng Tantalum &amp; Niobium Co., Ltd.</v>
      </c>
    </row>
    <row r="28" spans="1:28" s="272" customFormat="1" ht="76.5">
      <c r="A28" s="354" t="s">
        <v>765</v>
      </c>
      <c r="B28" s="215" t="s">
        <v>1132</v>
      </c>
      <c r="C28" s="355" t="s">
        <v>1750</v>
      </c>
      <c r="D28" s="278"/>
      <c r="E28" s="215" t="s">
        <v>1109</v>
      </c>
      <c r="F28" s="215" t="s">
        <v>765</v>
      </c>
      <c r="G28" s="215" t="s">
        <v>13459</v>
      </c>
      <c r="H28" s="356">
        <v>0</v>
      </c>
      <c r="I28" s="357" t="s">
        <v>1613</v>
      </c>
      <c r="J28" s="357" t="s">
        <v>7164</v>
      </c>
      <c r="K28" s="358"/>
      <c r="L28" s="358"/>
      <c r="M28" s="358"/>
      <c r="N28" s="358"/>
      <c r="O28" s="358"/>
      <c r="P28" s="359"/>
      <c r="Q28" s="360"/>
      <c r="R28" s="215" t="str">
        <f ca="1">IF(ISERROR($V28),"",OFFSET('Smelter Look-up'!$C$4,$V28-4,0)&amp;"")</f>
        <v>Ulba Metallurgical Plant JSC</v>
      </c>
      <c r="S28" s="222" t="str">
        <f t="shared" ca="1" si="3"/>
        <v>KZ</v>
      </c>
      <c r="T28" s="222" t="str">
        <f ca="1">IF(B28="","",IF(ISERROR(MATCH($J28,SorP!$B$1:$B$6230,0)),"",INDIRECT("'SorP'!$A$"&amp;MATCH($J28,SorP!$B$1:$B$6230,0))))</f>
        <v>KZ-KAR</v>
      </c>
      <c r="U28" s="238"/>
      <c r="V28" s="270">
        <f>IF(C28="",NA(),MATCH($B28&amp;$C28,'Smelter Look-up'!$J:$J,0))</f>
        <v>374</v>
      </c>
      <c r="W28" s="271"/>
      <c r="X28" s="271">
        <f t="shared" si="4"/>
        <v>0</v>
      </c>
      <c r="Y28" s="271"/>
      <c r="Z28" s="271"/>
      <c r="AB28" s="273" t="str">
        <f t="shared" si="5"/>
        <v>TantalumUlba Metallurgical Plant JSC</v>
      </c>
    </row>
    <row r="29" spans="1:28" s="272" customFormat="1" ht="114.75">
      <c r="A29" s="354" t="s">
        <v>396</v>
      </c>
      <c r="B29" s="215" t="s">
        <v>1132</v>
      </c>
      <c r="C29" s="355" t="s">
        <v>3</v>
      </c>
      <c r="D29" s="278"/>
      <c r="E29" s="215" t="s">
        <v>1100</v>
      </c>
      <c r="F29" s="215" t="s">
        <v>396</v>
      </c>
      <c r="G29" s="215" t="s">
        <v>13459</v>
      </c>
      <c r="H29" s="356">
        <v>0</v>
      </c>
      <c r="I29" s="357" t="s">
        <v>1752</v>
      </c>
      <c r="J29" s="357" t="s">
        <v>13846</v>
      </c>
      <c r="K29" s="358"/>
      <c r="L29" s="358"/>
      <c r="M29" s="358"/>
      <c r="N29" s="358"/>
      <c r="O29" s="358"/>
      <c r="P29" s="359"/>
      <c r="Q29" s="360"/>
      <c r="R29" s="215" t="str">
        <f ca="1">IF(ISERROR($V29),"",OFFSET('Smelter Look-up'!$C$4,$V29-4,0)&amp;"")</f>
        <v>Hengyang King Xing Lifeng New Materials Co., Ltd.</v>
      </c>
      <c r="S29" s="222" t="str">
        <f t="shared" ca="1" si="3"/>
        <v>CN</v>
      </c>
      <c r="T29" s="222" t="str">
        <f ca="1">IF(B29="","",IF(ISERROR(MATCH($J29,SorP!$B$1:$B$6230,0)),"",INDIRECT("'SorP'!$A$"&amp;MATCH($J29,SorP!$B$1:$B$6230,0))))</f>
        <v>CN-HN</v>
      </c>
      <c r="U29" s="238"/>
      <c r="V29" s="270">
        <f>IF(C29="",NA(),MATCH($B29&amp;$C29,'Smelter Look-up'!$J:$J,0))</f>
        <v>332</v>
      </c>
      <c r="W29" s="271"/>
      <c r="X29" s="271">
        <f t="shared" si="4"/>
        <v>0</v>
      </c>
      <c r="Y29" s="271"/>
      <c r="Z29" s="271"/>
      <c r="AB29" s="273" t="str">
        <f t="shared" si="5"/>
        <v>TantalumHengyang King Xing Lifeng New Materials Co., Ltd.</v>
      </c>
    </row>
    <row r="30" spans="1:28" s="272" customFormat="1" ht="63.75">
      <c r="A30" s="354" t="s">
        <v>1396</v>
      </c>
      <c r="B30" s="215" t="s">
        <v>1132</v>
      </c>
      <c r="C30" s="355" t="s">
        <v>1395</v>
      </c>
      <c r="D30" s="278"/>
      <c r="E30" s="215" t="s">
        <v>2463</v>
      </c>
      <c r="F30" s="215" t="s">
        <v>1396</v>
      </c>
      <c r="G30" s="215" t="s">
        <v>13459</v>
      </c>
      <c r="H30" s="356">
        <v>0</v>
      </c>
      <c r="I30" s="357" t="s">
        <v>1753</v>
      </c>
      <c r="J30" s="357" t="s">
        <v>1754</v>
      </c>
      <c r="K30" s="358"/>
      <c r="L30" s="358"/>
      <c r="M30" s="358"/>
      <c r="N30" s="358"/>
      <c r="O30" s="358"/>
      <c r="P30" s="359"/>
      <c r="Q30" s="360"/>
      <c r="R30" s="215" t="str">
        <f ca="1">IF(ISERROR($V30),"",OFFSET('Smelter Look-up'!$C$4,$V30-4,0)&amp;"")</f>
        <v>D Block Metals, LLC</v>
      </c>
      <c r="S30" s="222" t="str">
        <f t="shared" ca="1" si="3"/>
        <v>US</v>
      </c>
      <c r="T30" s="222" t="str">
        <f ca="1">IF(B30="","",IF(ISERROR(MATCH($J30,SorP!$B$1:$B$6230,0)),"",INDIRECT("'SorP'!$A$"&amp;MATCH($J30,SorP!$B$1:$B$6230,0))))</f>
        <v>US-NC</v>
      </c>
      <c r="U30" s="238"/>
      <c r="V30" s="270">
        <f>IF(C30="",NA(),MATCH($B30&amp;$C30,'Smelter Look-up'!$J:$J,0))</f>
        <v>318</v>
      </c>
      <c r="W30" s="271"/>
      <c r="X30" s="271">
        <f t="shared" si="4"/>
        <v>0</v>
      </c>
      <c r="Y30" s="271"/>
      <c r="Z30" s="271"/>
      <c r="AB30" s="273" t="str">
        <f t="shared" si="5"/>
        <v>TantalumD Block Metals, LLC</v>
      </c>
    </row>
    <row r="31" spans="1:28" s="272" customFormat="1" ht="76.5">
      <c r="A31" s="354" t="s">
        <v>1397</v>
      </c>
      <c r="B31" s="215" t="s">
        <v>1132</v>
      </c>
      <c r="C31" s="355" t="s">
        <v>2185</v>
      </c>
      <c r="D31" s="278"/>
      <c r="E31" s="215" t="s">
        <v>1100</v>
      </c>
      <c r="F31" s="215" t="s">
        <v>1397</v>
      </c>
      <c r="G31" s="215" t="s">
        <v>13459</v>
      </c>
      <c r="H31" s="356">
        <v>0</v>
      </c>
      <c r="I31" s="357" t="s">
        <v>1744</v>
      </c>
      <c r="J31" s="357" t="s">
        <v>13846</v>
      </c>
      <c r="K31" s="358"/>
      <c r="L31" s="358"/>
      <c r="M31" s="358"/>
      <c r="N31" s="358"/>
      <c r="O31" s="358"/>
      <c r="P31" s="359"/>
      <c r="Q31" s="360"/>
      <c r="R31" s="215" t="str">
        <f ca="1">IF(ISERROR($V31),"",OFFSET('Smelter Look-up'!$C$4,$V31-4,0)&amp;"")</f>
        <v>FIR Metals &amp; Resource Ltd.</v>
      </c>
      <c r="S31" s="222" t="str">
        <f t="shared" ca="1" si="3"/>
        <v>CN</v>
      </c>
      <c r="T31" s="222" t="str">
        <f ca="1">IF(B31="","",IF(ISERROR(MATCH($J31,SorP!$B$1:$B$6230,0)),"",INDIRECT("'SorP'!$A$"&amp;MATCH($J31,SorP!$B$1:$B$6230,0))))</f>
        <v>CN-HN</v>
      </c>
      <c r="U31" s="238"/>
      <c r="V31" s="270">
        <f>IF(C31="",NA(),MATCH($B31&amp;$C31,'Smelter Look-up'!$J:$J,0))</f>
        <v>322</v>
      </c>
      <c r="W31" s="271"/>
      <c r="X31" s="271">
        <f t="shared" si="4"/>
        <v>0</v>
      </c>
      <c r="Y31" s="271"/>
      <c r="Z31" s="271"/>
      <c r="AB31" s="273" t="str">
        <f t="shared" si="5"/>
        <v>TantalumFIR Metals &amp; Resource Ltd.</v>
      </c>
    </row>
    <row r="32" spans="1:28" s="272" customFormat="1" ht="51">
      <c r="A32" s="354" t="s">
        <v>1416</v>
      </c>
      <c r="B32" s="215" t="s">
        <v>1132</v>
      </c>
      <c r="C32" s="355" t="s">
        <v>15359</v>
      </c>
      <c r="D32" s="278"/>
      <c r="E32" s="215" t="s">
        <v>888</v>
      </c>
      <c r="F32" s="215" t="s">
        <v>1416</v>
      </c>
      <c r="G32" s="215" t="s">
        <v>13459</v>
      </c>
      <c r="H32" s="356">
        <v>0</v>
      </c>
      <c r="I32" s="357" t="s">
        <v>1759</v>
      </c>
      <c r="J32" s="357" t="s">
        <v>1760</v>
      </c>
      <c r="K32" s="358"/>
      <c r="L32" s="358"/>
      <c r="M32" s="358"/>
      <c r="N32" s="358"/>
      <c r="O32" s="358"/>
      <c r="P32" s="359"/>
      <c r="Q32" s="360"/>
      <c r="R32" s="215" t="str">
        <f ca="1">IF(ISERROR($V32),"",OFFSET('Smelter Look-up'!$C$4,$V32-4,0)&amp;"")</f>
        <v>TANIOBIS Co., Ltd.</v>
      </c>
      <c r="S32" s="222" t="str">
        <f t="shared" ca="1" si="3"/>
        <v>TH</v>
      </c>
      <c r="T32" s="222" t="str">
        <f ca="1">IF(B32="","",IF(ISERROR(MATCH($J32,SorP!$B$1:$B$6230,0)),"",INDIRECT("'SorP'!$A$"&amp;MATCH($J32,SorP!$B$1:$B$6230,0))))</f>
        <v>TH-21</v>
      </c>
      <c r="U32" s="238"/>
      <c r="V32" s="270">
        <f>IF(C32="",NA(),MATCH($B32&amp;$C32,'Smelter Look-up'!$J:$J,0))</f>
        <v>368</v>
      </c>
      <c r="W32" s="271"/>
      <c r="X32" s="271">
        <f t="shared" si="4"/>
        <v>0</v>
      </c>
      <c r="Y32" s="271"/>
      <c r="Z32" s="271"/>
      <c r="AB32" s="273" t="str">
        <f t="shared" si="5"/>
        <v>TantalumTANIOBIS Co., Ltd.</v>
      </c>
    </row>
    <row r="33" spans="1:28" s="272" customFormat="1" ht="51">
      <c r="A33" s="354" t="s">
        <v>1417</v>
      </c>
      <c r="B33" s="215" t="s">
        <v>1132</v>
      </c>
      <c r="C33" s="355" t="s">
        <v>15362</v>
      </c>
      <c r="D33" s="278"/>
      <c r="E33" s="215" t="s">
        <v>1101</v>
      </c>
      <c r="F33" s="215" t="s">
        <v>1417</v>
      </c>
      <c r="G33" s="215" t="s">
        <v>13459</v>
      </c>
      <c r="H33" s="356">
        <v>0</v>
      </c>
      <c r="I33" s="357" t="s">
        <v>1761</v>
      </c>
      <c r="J33" s="357" t="s">
        <v>4284</v>
      </c>
      <c r="K33" s="358"/>
      <c r="L33" s="358"/>
      <c r="M33" s="358"/>
      <c r="N33" s="358"/>
      <c r="O33" s="358"/>
      <c r="P33" s="359"/>
      <c r="Q33" s="360"/>
      <c r="R33" s="215" t="str">
        <f ca="1">IF(ISERROR($V33),"",OFFSET('Smelter Look-up'!$C$4,$V33-4,0)&amp;"")</f>
        <v>TANIOBIS GmbH</v>
      </c>
      <c r="S33" s="222" t="str">
        <f t="shared" ca="1" si="3"/>
        <v>DE</v>
      </c>
      <c r="T33" s="222" t="str">
        <f ca="1">IF(B33="","",IF(ISERROR(MATCH($J33,SorP!$B$1:$B$6230,0)),"",INDIRECT("'SorP'!$A$"&amp;MATCH($J33,SorP!$B$1:$B$6230,0))))</f>
        <v>DE-NI</v>
      </c>
      <c r="U33" s="238"/>
      <c r="V33" s="270">
        <f>IF(C33="",NA(),MATCH($B33&amp;$C33,'Smelter Look-up'!$J:$J,0))</f>
        <v>369</v>
      </c>
      <c r="W33" s="271"/>
      <c r="X33" s="271">
        <f t="shared" si="4"/>
        <v>0</v>
      </c>
      <c r="Y33" s="271"/>
      <c r="Z33" s="271"/>
      <c r="AB33" s="273" t="str">
        <f t="shared" si="5"/>
        <v>TantalumTANIOBIS GmbH</v>
      </c>
    </row>
    <row r="34" spans="1:28" s="272" customFormat="1" ht="63.75">
      <c r="A34" s="354" t="s">
        <v>1419</v>
      </c>
      <c r="B34" s="215" t="s">
        <v>1132</v>
      </c>
      <c r="C34" s="355" t="s">
        <v>1418</v>
      </c>
      <c r="D34" s="278"/>
      <c r="E34" s="215" t="s">
        <v>1101</v>
      </c>
      <c r="F34" s="215" t="s">
        <v>1419</v>
      </c>
      <c r="G34" s="215" t="s">
        <v>13459</v>
      </c>
      <c r="H34" s="356">
        <v>0</v>
      </c>
      <c r="I34" s="357" t="s">
        <v>1763</v>
      </c>
      <c r="J34" s="357" t="s">
        <v>4262</v>
      </c>
      <c r="K34" s="358"/>
      <c r="L34" s="358"/>
      <c r="M34" s="358"/>
      <c r="N34" s="358"/>
      <c r="O34" s="358"/>
      <c r="P34" s="359"/>
      <c r="Q34" s="360"/>
      <c r="R34" s="215" t="str">
        <f ca="1">IF(ISERROR($V34),"",OFFSET('Smelter Look-up'!$C$4,$V34-4,0)&amp;"")</f>
        <v>H.C. Starck Hermsdorf GmbH</v>
      </c>
      <c r="S34" s="222" t="str">
        <f t="shared" ca="1" si="3"/>
        <v>DE</v>
      </c>
      <c r="T34" s="222" t="str">
        <f ca="1">IF(B34="","",IF(ISERROR(MATCH($J34,SorP!$B$1:$B$6230,0)),"",INDIRECT("'SorP'!$A$"&amp;MATCH($J34,SorP!$B$1:$B$6230,0))))</f>
        <v>DE-TH</v>
      </c>
      <c r="U34" s="238"/>
      <c r="V34" s="270">
        <f>IF(C34="",NA(),MATCH($B34&amp;$C34,'Smelter Look-up'!$J:$J,0))</f>
        <v>327</v>
      </c>
      <c r="W34" s="271"/>
      <c r="X34" s="271">
        <f t="shared" si="4"/>
        <v>0</v>
      </c>
      <c r="Y34" s="271"/>
      <c r="Z34" s="271"/>
      <c r="AB34" s="273" t="str">
        <f t="shared" si="5"/>
        <v>TantalumH.C. Starck Hermsdorf GmbH</v>
      </c>
    </row>
    <row r="35" spans="1:28" s="272" customFormat="1" ht="51">
      <c r="A35" s="354" t="s">
        <v>1421</v>
      </c>
      <c r="B35" s="215" t="s">
        <v>1132</v>
      </c>
      <c r="C35" s="355" t="s">
        <v>1420</v>
      </c>
      <c r="D35" s="278"/>
      <c r="E35" s="215" t="s">
        <v>2463</v>
      </c>
      <c r="F35" s="215" t="s">
        <v>1421</v>
      </c>
      <c r="G35" s="215" t="s">
        <v>13459</v>
      </c>
      <c r="H35" s="356">
        <v>0</v>
      </c>
      <c r="I35" s="357" t="s">
        <v>1764</v>
      </c>
      <c r="J35" s="357" t="s">
        <v>1632</v>
      </c>
      <c r="K35" s="358"/>
      <c r="L35" s="358"/>
      <c r="M35" s="358"/>
      <c r="N35" s="358"/>
      <c r="O35" s="358"/>
      <c r="P35" s="359"/>
      <c r="Q35" s="360"/>
      <c r="R35" s="215" t="str">
        <f ca="1">IF(ISERROR($V35),"",OFFSET('Smelter Look-up'!$C$4,$V35-4,0)&amp;"")</f>
        <v>H.C. Starck Inc.</v>
      </c>
      <c r="S35" s="222" t="str">
        <f t="shared" ca="1" si="3"/>
        <v>US</v>
      </c>
      <c r="T35" s="222" t="str">
        <f ca="1">IF(B35="","",IF(ISERROR(MATCH($J35,SorP!$B$1:$B$6230,0)),"",INDIRECT("'SorP'!$A$"&amp;MATCH($J35,SorP!$B$1:$B$6230,0))))</f>
        <v>US-MA</v>
      </c>
      <c r="U35" s="238"/>
      <c r="V35" s="270">
        <f>IF(C35="",NA(),MATCH($B35&amp;$C35,'Smelter Look-up'!$J:$J,0))</f>
        <v>328</v>
      </c>
      <c r="W35" s="271"/>
      <c r="X35" s="271">
        <f t="shared" si="4"/>
        <v>0</v>
      </c>
      <c r="Y35" s="271"/>
      <c r="Z35" s="271"/>
      <c r="AB35" s="273" t="str">
        <f t="shared" si="5"/>
        <v>TantalumH.C. Starck Inc.</v>
      </c>
    </row>
    <row r="36" spans="1:28" s="272" customFormat="1" ht="76.5">
      <c r="A36" s="354" t="s">
        <v>1423</v>
      </c>
      <c r="B36" s="215" t="s">
        <v>1132</v>
      </c>
      <c r="C36" s="355" t="s">
        <v>15360</v>
      </c>
      <c r="D36" s="278"/>
      <c r="E36" s="215" t="s">
        <v>1108</v>
      </c>
      <c r="F36" s="215" t="s">
        <v>1423</v>
      </c>
      <c r="G36" s="215" t="s">
        <v>13459</v>
      </c>
      <c r="H36" s="356">
        <v>0</v>
      </c>
      <c r="I36" s="357" t="s">
        <v>1765</v>
      </c>
      <c r="J36" s="357" t="s">
        <v>1766</v>
      </c>
      <c r="K36" s="358"/>
      <c r="L36" s="358"/>
      <c r="M36" s="358"/>
      <c r="N36" s="358"/>
      <c r="O36" s="358"/>
      <c r="P36" s="359"/>
      <c r="Q36" s="360"/>
      <c r="R36" s="215" t="str">
        <f ca="1">IF(ISERROR($V36),"",OFFSET('Smelter Look-up'!$C$4,$V36-4,0)&amp;"")</f>
        <v>TANIOBIS Japan Co., Ltd.</v>
      </c>
      <c r="S36" s="222" t="str">
        <f t="shared" ca="1" si="3"/>
        <v>JP</v>
      </c>
      <c r="T36" s="222" t="str">
        <f ca="1">IF(B36="","",IF(ISERROR(MATCH($J36,SorP!$B$1:$B$6230,0)),"",INDIRECT("'SorP'!$A$"&amp;MATCH($J36,SorP!$B$1:$B$6230,0))))</f>
        <v>JP-08</v>
      </c>
      <c r="U36" s="238"/>
      <c r="V36" s="270">
        <f>IF(C36="",NA(),MATCH($B36&amp;$C36,'Smelter Look-up'!$J:$J,0))</f>
        <v>370</v>
      </c>
      <c r="W36" s="271"/>
      <c r="X36" s="271">
        <f t="shared" si="4"/>
        <v>0</v>
      </c>
      <c r="Y36" s="271"/>
      <c r="Z36" s="271"/>
      <c r="AB36" s="273" t="str">
        <f t="shared" si="5"/>
        <v>TantalumTANIOBIS Japan Co., Ltd.</v>
      </c>
    </row>
    <row r="37" spans="1:28" s="272" customFormat="1" ht="76.5">
      <c r="A37" s="354" t="s">
        <v>1424</v>
      </c>
      <c r="B37" s="215" t="s">
        <v>1132</v>
      </c>
      <c r="C37" s="355" t="s">
        <v>15361</v>
      </c>
      <c r="D37" s="278"/>
      <c r="E37" s="215" t="s">
        <v>1101</v>
      </c>
      <c r="F37" s="215" t="s">
        <v>1424</v>
      </c>
      <c r="G37" s="215" t="s">
        <v>13459</v>
      </c>
      <c r="H37" s="356">
        <v>0</v>
      </c>
      <c r="I37" s="357" t="s">
        <v>1762</v>
      </c>
      <c r="J37" s="357" t="s">
        <v>1550</v>
      </c>
      <c r="K37" s="358"/>
      <c r="L37" s="358"/>
      <c r="M37" s="358"/>
      <c r="N37" s="358"/>
      <c r="O37" s="358"/>
      <c r="P37" s="359"/>
      <c r="Q37" s="360"/>
      <c r="R37" s="215" t="str">
        <f ca="1">IF(ISERROR($V37),"",OFFSET('Smelter Look-up'!$C$4,$V37-4,0)&amp;"")</f>
        <v>TANIOBIS Smelting GmbH &amp; Co. KG</v>
      </c>
      <c r="S37" s="222" t="str">
        <f t="shared" ca="1" si="3"/>
        <v>DE</v>
      </c>
      <c r="T37" s="222" t="str">
        <f ca="1">IF(B37="","",IF(ISERROR(MATCH($J37,SorP!$B$1:$B$6230,0)),"",INDIRECT("'SorP'!$A$"&amp;MATCH($J37,SorP!$B$1:$B$6230,0))))</f>
        <v>DE-BW</v>
      </c>
      <c r="U37" s="238"/>
      <c r="V37" s="270">
        <f>IF(C37="",NA(),MATCH($B37&amp;$C37,'Smelter Look-up'!$J:$J,0))</f>
        <v>371</v>
      </c>
      <c r="W37" s="271"/>
      <c r="X37" s="271">
        <f t="shared" si="4"/>
        <v>0</v>
      </c>
      <c r="Y37" s="271"/>
      <c r="Z37" s="271"/>
      <c r="AB37" s="273" t="str">
        <f t="shared" si="5"/>
        <v>TantalumTANIOBIS Smelting GmbH &amp; Co. KG</v>
      </c>
    </row>
    <row r="38" spans="1:28" s="272" customFormat="1" ht="89.25">
      <c r="A38" s="354" t="s">
        <v>1414</v>
      </c>
      <c r="B38" s="215" t="s">
        <v>1132</v>
      </c>
      <c r="C38" s="355" t="s">
        <v>1413</v>
      </c>
      <c r="D38" s="278"/>
      <c r="E38" s="215" t="s">
        <v>2463</v>
      </c>
      <c r="F38" s="215" t="s">
        <v>1414</v>
      </c>
      <c r="G38" s="215" t="s">
        <v>13459</v>
      </c>
      <c r="H38" s="356">
        <v>0</v>
      </c>
      <c r="I38" s="357" t="s">
        <v>1767</v>
      </c>
      <c r="J38" s="357" t="s">
        <v>1749</v>
      </c>
      <c r="K38" s="358"/>
      <c r="L38" s="358"/>
      <c r="M38" s="358"/>
      <c r="N38" s="358"/>
      <c r="O38" s="358"/>
      <c r="P38" s="359"/>
      <c r="Q38" s="360"/>
      <c r="R38" s="215" t="str">
        <f ca="1">IF(ISERROR($V38),"",OFFSET('Smelter Look-up'!$C$4,$V38-4,0)&amp;"")</f>
        <v>Global Advanced Metals Boyertown</v>
      </c>
      <c r="S38" s="222" t="str">
        <f t="shared" ref="S38:S68" ca="1" si="6">IF(B38="","",IF(ISERROR(MATCH($E38,CL,0)),"Unknown",INDIRECT("'C'!$A$"&amp;MATCH($E38,CL,0)+1)))</f>
        <v>US</v>
      </c>
      <c r="T38" s="222" t="str">
        <f ca="1">IF(B38="","",IF(ISERROR(MATCH($J38,SorP!$B$1:$B$6230,0)),"",INDIRECT("'SorP'!$A$"&amp;MATCH($J38,SorP!$B$1:$B$6230,0))))</f>
        <v>US-PA</v>
      </c>
      <c r="U38" s="238"/>
      <c r="V38" s="270">
        <f>IF(C38="",NA(),MATCH($B38&amp;$C38,'Smelter Look-up'!$J:$J,0))</f>
        <v>324</v>
      </c>
      <c r="W38" s="271"/>
      <c r="X38" s="271">
        <f t="shared" ref="X38:X68" si="7">IF(AND(C38="Smelter not listed",OR(LEN(D38)=0,LEN(E38)=0)),1,0)</f>
        <v>0</v>
      </c>
      <c r="Y38" s="271"/>
      <c r="Z38" s="271"/>
      <c r="AB38" s="273" t="str">
        <f t="shared" ref="AB38:AB68" si="8">B38&amp;C38</f>
        <v>TantalumGlobal Advanced Metals Boyertown</v>
      </c>
    </row>
    <row r="39" spans="1:28" s="272" customFormat="1" ht="76.5">
      <c r="A39" s="354" t="s">
        <v>1412</v>
      </c>
      <c r="B39" s="215" t="s">
        <v>1132</v>
      </c>
      <c r="C39" s="355" t="s">
        <v>1411</v>
      </c>
      <c r="D39" s="278"/>
      <c r="E39" s="215" t="s">
        <v>1108</v>
      </c>
      <c r="F39" s="215" t="s">
        <v>1412</v>
      </c>
      <c r="G39" s="215" t="s">
        <v>13459</v>
      </c>
      <c r="H39" s="356">
        <v>0</v>
      </c>
      <c r="I39" s="357" t="s">
        <v>1768</v>
      </c>
      <c r="J39" s="357" t="s">
        <v>1561</v>
      </c>
      <c r="K39" s="358"/>
      <c r="L39" s="358"/>
      <c r="M39" s="358"/>
      <c r="N39" s="358"/>
      <c r="O39" s="358"/>
      <c r="P39" s="359"/>
      <c r="Q39" s="360"/>
      <c r="R39" s="215" t="str">
        <f ca="1">IF(ISERROR($V39),"",OFFSET('Smelter Look-up'!$C$4,$V39-4,0)&amp;"")</f>
        <v>Global Advanced Metals Aizu</v>
      </c>
      <c r="S39" s="222" t="str">
        <f t="shared" ca="1" si="6"/>
        <v>JP</v>
      </c>
      <c r="T39" s="222" t="str">
        <f ca="1">IF(B39="","",IF(ISERROR(MATCH($J39,SorP!$B$1:$B$6230,0)),"",INDIRECT("'SorP'!$A$"&amp;MATCH($J39,SorP!$B$1:$B$6230,0))))</f>
        <v>JP-07</v>
      </c>
      <c r="U39" s="238"/>
      <c r="V39" s="270">
        <f>IF(C39="",NA(),MATCH($B39&amp;$C39,'Smelter Look-up'!$J:$J,0))</f>
        <v>323</v>
      </c>
      <c r="W39" s="271"/>
      <c r="X39" s="271">
        <f t="shared" si="7"/>
        <v>0</v>
      </c>
      <c r="Y39" s="271"/>
      <c r="Z39" s="271"/>
      <c r="AB39" s="273" t="str">
        <f t="shared" si="8"/>
        <v>TantalumGlobal Advanced Metals Aizu</v>
      </c>
    </row>
    <row r="40" spans="1:28" s="272" customFormat="1" ht="76.5">
      <c r="A40" s="354" t="s">
        <v>2289</v>
      </c>
      <c r="B40" s="215" t="s">
        <v>1132</v>
      </c>
      <c r="C40" s="355" t="s">
        <v>2288</v>
      </c>
      <c r="D40" s="278"/>
      <c r="E40" s="215" t="s">
        <v>1100</v>
      </c>
      <c r="F40" s="215" t="s">
        <v>2289</v>
      </c>
      <c r="G40" s="215" t="s">
        <v>13459</v>
      </c>
      <c r="H40" s="356">
        <v>0</v>
      </c>
      <c r="I40" s="357" t="s">
        <v>1751</v>
      </c>
      <c r="J40" s="357" t="s">
        <v>13842</v>
      </c>
      <c r="K40" s="358"/>
      <c r="L40" s="358"/>
      <c r="M40" s="358"/>
      <c r="N40" s="358"/>
      <c r="O40" s="358"/>
      <c r="P40" s="359"/>
      <c r="Q40" s="360"/>
      <c r="R40" s="215" t="str">
        <f ca="1">IF(ISERROR($V40),"",OFFSET('Smelter Look-up'!$C$4,$V40-4,0)&amp;"")</f>
        <v>Jiangxi Tuohong New Raw Material</v>
      </c>
      <c r="S40" s="222" t="str">
        <f t="shared" ca="1" si="6"/>
        <v>CN</v>
      </c>
      <c r="T40" s="222" t="str">
        <f ca="1">IF(B40="","",IF(ISERROR(MATCH($J40,SorP!$B$1:$B$6230,0)),"",INDIRECT("'SorP'!$A$"&amp;MATCH($J40,SorP!$B$1:$B$6230,0))))</f>
        <v>CN-JX</v>
      </c>
      <c r="U40" s="238"/>
      <c r="V40" s="270">
        <f>IF(C40="",NA(),MATCH($B40&amp;$C40,'Smelter Look-up'!$J:$J,0))</f>
        <v>334</v>
      </c>
      <c r="W40" s="271"/>
      <c r="X40" s="271">
        <f t="shared" si="7"/>
        <v>0</v>
      </c>
      <c r="Y40" s="271"/>
      <c r="Z40" s="271"/>
      <c r="AB40" s="273" t="str">
        <f t="shared" si="8"/>
        <v>TantalumJiangxi Tuohong New Raw Material</v>
      </c>
    </row>
    <row r="41" spans="1:28" s="272" customFormat="1" ht="51">
      <c r="A41" s="324" t="s">
        <v>784</v>
      </c>
      <c r="B41" s="215" t="s">
        <v>1131</v>
      </c>
      <c r="C41" s="355" t="s">
        <v>14025</v>
      </c>
      <c r="D41" s="278"/>
      <c r="E41" s="215" t="s">
        <v>1105</v>
      </c>
      <c r="F41" s="215" t="s">
        <v>784</v>
      </c>
      <c r="G41" s="215" t="s">
        <v>13459</v>
      </c>
      <c r="H41" s="356">
        <v>0</v>
      </c>
      <c r="I41" s="357" t="s">
        <v>1808</v>
      </c>
      <c r="J41" s="357" t="s">
        <v>13066</v>
      </c>
      <c r="K41" s="358"/>
      <c r="L41" s="358"/>
      <c r="M41" s="358"/>
      <c r="N41" s="358"/>
      <c r="O41" s="358"/>
      <c r="P41" s="359"/>
      <c r="Q41" s="360"/>
      <c r="R41" s="215" t="str">
        <f ca="1">IF(ISERROR($V41),"",OFFSET('Smelter Look-up'!$C$4,$V41-4,0)&amp;"")</f>
        <v>PT Timah Tbk Mentok</v>
      </c>
      <c r="S41" s="222" t="str">
        <f t="shared" ca="1" si="6"/>
        <v>ID</v>
      </c>
      <c r="T41" s="222" t="str">
        <f ca="1">IF(B41="","",IF(ISERROR(MATCH($J41,SorP!$B$1:$B$6230,0)),"",INDIRECT("'SorP'!$A$"&amp;MATCH($J41,SorP!$B$1:$B$6230,0))))</f>
        <v>ID-BB</v>
      </c>
      <c r="U41" s="238"/>
      <c r="V41" s="270">
        <f>IF(C41="",NA(),MATCH($B41&amp;$C41,'Smelter Look-up'!$J:$J,0))</f>
        <v>492</v>
      </c>
      <c r="W41" s="271"/>
      <c r="X41" s="271">
        <f t="shared" si="7"/>
        <v>0</v>
      </c>
      <c r="Y41" s="271"/>
      <c r="Z41" s="271"/>
      <c r="AB41" s="273" t="str">
        <f t="shared" si="8"/>
        <v>TinPT Timah Tbk Mentok</v>
      </c>
    </row>
    <row r="42" spans="1:28" s="272" customFormat="1" ht="76.5">
      <c r="A42" s="324" t="s">
        <v>650</v>
      </c>
      <c r="B42" s="215" t="s">
        <v>1130</v>
      </c>
      <c r="C42" s="355" t="s">
        <v>2156</v>
      </c>
      <c r="D42" s="278"/>
      <c r="E42" s="215" t="s">
        <v>1108</v>
      </c>
      <c r="F42" s="215" t="s">
        <v>650</v>
      </c>
      <c r="G42" s="215" t="s">
        <v>13459</v>
      </c>
      <c r="H42" s="356">
        <v>0</v>
      </c>
      <c r="I42" s="357" t="s">
        <v>1547</v>
      </c>
      <c r="J42" s="357" t="s">
        <v>1548</v>
      </c>
      <c r="K42" s="358"/>
      <c r="L42" s="358"/>
      <c r="M42" s="358"/>
      <c r="N42" s="358"/>
      <c r="O42" s="358"/>
      <c r="P42" s="359"/>
      <c r="Q42" s="360"/>
      <c r="R42" s="215" t="str">
        <f ca="1">IF(ISERROR($V42),"",OFFSET('Smelter Look-up'!$C$4,$V42-4,0)&amp;"")</f>
        <v>Aida Chemical Industries Co., Ltd.</v>
      </c>
      <c r="S42" s="222" t="str">
        <f t="shared" ca="1" si="6"/>
        <v>JP</v>
      </c>
      <c r="T42" s="222" t="str">
        <f ca="1">IF(B42="","",IF(ISERROR(MATCH($J42,SorP!$B$1:$B$6230,0)),"",INDIRECT("'SorP'!$A$"&amp;MATCH($J42,SorP!$B$1:$B$6230,0))))</f>
        <v>JP-13</v>
      </c>
      <c r="U42" s="238"/>
      <c r="V42" s="270">
        <f>IF(C42="",NA(),MATCH($B42&amp;$C42,'Smelter Look-up'!$J:$J,0))</f>
        <v>11</v>
      </c>
      <c r="W42" s="271"/>
      <c r="X42" s="271">
        <f t="shared" si="7"/>
        <v>0</v>
      </c>
      <c r="Y42" s="271"/>
      <c r="Z42" s="271"/>
      <c r="AB42" s="273" t="str">
        <f t="shared" si="8"/>
        <v>GoldAida Chemical Industries Co., Ltd.</v>
      </c>
    </row>
    <row r="43" spans="1:28" s="272" customFormat="1" ht="51">
      <c r="A43" s="324" t="s">
        <v>654</v>
      </c>
      <c r="B43" s="215" t="s">
        <v>1130</v>
      </c>
      <c r="C43" s="355" t="s">
        <v>2309</v>
      </c>
      <c r="D43" s="278"/>
      <c r="E43" s="215" t="s">
        <v>1098</v>
      </c>
      <c r="F43" s="215" t="s">
        <v>654</v>
      </c>
      <c r="G43" s="215" t="s">
        <v>13459</v>
      </c>
      <c r="H43" s="356">
        <v>0</v>
      </c>
      <c r="I43" s="357" t="s">
        <v>1555</v>
      </c>
      <c r="J43" s="357" t="s">
        <v>1556</v>
      </c>
      <c r="K43" s="358"/>
      <c r="L43" s="358"/>
      <c r="M43" s="358"/>
      <c r="N43" s="358"/>
      <c r="O43" s="358"/>
      <c r="P43" s="359"/>
      <c r="Q43" s="360"/>
      <c r="R43" s="215" t="str">
        <f ca="1">IF(ISERROR($V43),"",OFFSET('Smelter Look-up'!$C$4,$V43-4,0)&amp;"")</f>
        <v>Argor-Heraeus S.A.</v>
      </c>
      <c r="S43" s="222" t="str">
        <f t="shared" ca="1" si="6"/>
        <v>CH</v>
      </c>
      <c r="T43" s="222" t="str">
        <f ca="1">IF(B43="","",IF(ISERROR(MATCH($J43,SorP!$B$1:$B$6230,0)),"",INDIRECT("'SorP'!$A$"&amp;MATCH($J43,SorP!$B$1:$B$6230,0))))</f>
        <v>CH-TI</v>
      </c>
      <c r="U43" s="238"/>
      <c r="V43" s="270">
        <f>IF(C43="",NA(),MATCH($B43&amp;$C43,'Smelter Look-up'!$J:$J,0))</f>
        <v>25</v>
      </c>
      <c r="W43" s="271"/>
      <c r="X43" s="271">
        <f t="shared" si="7"/>
        <v>0</v>
      </c>
      <c r="Y43" s="271"/>
      <c r="Z43" s="271"/>
      <c r="AB43" s="273" t="str">
        <f t="shared" si="8"/>
        <v>GoldArgor-Heraeus S.A.</v>
      </c>
    </row>
    <row r="44" spans="1:28" s="272" customFormat="1" ht="51">
      <c r="A44" s="324" t="s">
        <v>655</v>
      </c>
      <c r="B44" s="215" t="s">
        <v>1130</v>
      </c>
      <c r="C44" s="355" t="s">
        <v>2310</v>
      </c>
      <c r="D44" s="278"/>
      <c r="E44" s="215" t="s">
        <v>1108</v>
      </c>
      <c r="F44" s="215" t="s">
        <v>655</v>
      </c>
      <c r="G44" s="215" t="s">
        <v>13459</v>
      </c>
      <c r="H44" s="356">
        <v>0</v>
      </c>
      <c r="I44" s="357" t="s">
        <v>1557</v>
      </c>
      <c r="J44" s="357" t="s">
        <v>1558</v>
      </c>
      <c r="K44" s="358"/>
      <c r="L44" s="358"/>
      <c r="M44" s="358"/>
      <c r="N44" s="358"/>
      <c r="O44" s="358"/>
      <c r="P44" s="359"/>
      <c r="Q44" s="360"/>
      <c r="R44" s="215" t="str">
        <f ca="1">IF(ISERROR($V44),"",OFFSET('Smelter Look-up'!$C$4,$V44-4,0)&amp;"")</f>
        <v>Asahi Pretec Corp.</v>
      </c>
      <c r="S44" s="222" t="str">
        <f t="shared" ca="1" si="6"/>
        <v>JP</v>
      </c>
      <c r="T44" s="222" t="str">
        <f ca="1">IF(B44="","",IF(ISERROR(MATCH($J44,SorP!$B$1:$B$6230,0)),"",INDIRECT("'SorP'!$A$"&amp;MATCH($J44,SorP!$B$1:$B$6230,0))))</f>
        <v>JP-28</v>
      </c>
      <c r="U44" s="238"/>
      <c r="V44" s="270">
        <f>IF(C44="",NA(),MATCH($B44&amp;$C44,'Smelter Look-up'!$J:$J,0))</f>
        <v>26</v>
      </c>
      <c r="W44" s="271"/>
      <c r="X44" s="271">
        <f t="shared" si="7"/>
        <v>0</v>
      </c>
      <c r="Y44" s="271"/>
      <c r="Z44" s="271"/>
      <c r="AB44" s="273" t="str">
        <f t="shared" si="8"/>
        <v>GoldAsahi Pretec Corp.</v>
      </c>
    </row>
    <row r="45" spans="1:28" s="272" customFormat="1" ht="51">
      <c r="A45" s="324" t="s">
        <v>656</v>
      </c>
      <c r="B45" s="215" t="s">
        <v>1130</v>
      </c>
      <c r="C45" s="355" t="s">
        <v>2157</v>
      </c>
      <c r="D45" s="278"/>
      <c r="E45" s="215" t="s">
        <v>1108</v>
      </c>
      <c r="F45" s="215" t="s">
        <v>656</v>
      </c>
      <c r="G45" s="215" t="s">
        <v>13459</v>
      </c>
      <c r="H45" s="356">
        <v>0</v>
      </c>
      <c r="I45" s="357" t="s">
        <v>1560</v>
      </c>
      <c r="J45" s="357" t="s">
        <v>1561</v>
      </c>
      <c r="K45" s="358"/>
      <c r="L45" s="358"/>
      <c r="M45" s="358"/>
      <c r="N45" s="358"/>
      <c r="O45" s="358"/>
      <c r="P45" s="359"/>
      <c r="Q45" s="360"/>
      <c r="R45" s="215" t="str">
        <f ca="1">IF(ISERROR($V45),"",OFFSET('Smelter Look-up'!$C$4,$V45-4,0)&amp;"")</f>
        <v>Asaka Riken Co., Ltd.</v>
      </c>
      <c r="S45" s="222" t="str">
        <f t="shared" ca="1" si="6"/>
        <v>JP</v>
      </c>
      <c r="T45" s="222" t="str">
        <f ca="1">IF(B45="","",IF(ISERROR(MATCH($J45,SorP!$B$1:$B$6230,0)),"",INDIRECT("'SorP'!$A$"&amp;MATCH($J45,SorP!$B$1:$B$6230,0))))</f>
        <v>JP-07</v>
      </c>
      <c r="U45" s="238"/>
      <c r="V45" s="270">
        <f>IF(C45="",NA(),MATCH($B45&amp;$C45,'Smelter Look-up'!$J:$J,0))</f>
        <v>29</v>
      </c>
      <c r="W45" s="271"/>
      <c r="X45" s="271">
        <f t="shared" si="7"/>
        <v>0</v>
      </c>
      <c r="Y45" s="271"/>
      <c r="Z45" s="271"/>
      <c r="AB45" s="273" t="str">
        <f t="shared" si="8"/>
        <v>GoldAsaka Riken Co., Ltd.</v>
      </c>
    </row>
    <row r="46" spans="1:28" s="272" customFormat="1" ht="76.5">
      <c r="A46" s="324" t="s">
        <v>692</v>
      </c>
      <c r="B46" s="215" t="s">
        <v>1130</v>
      </c>
      <c r="C46" s="355" t="s">
        <v>55</v>
      </c>
      <c r="D46" s="278"/>
      <c r="E46" s="215" t="s">
        <v>1108</v>
      </c>
      <c r="F46" s="215" t="s">
        <v>692</v>
      </c>
      <c r="G46" s="215" t="s">
        <v>13459</v>
      </c>
      <c r="H46" s="356">
        <v>0</v>
      </c>
      <c r="I46" s="357" t="s">
        <v>2393</v>
      </c>
      <c r="J46" s="357" t="s">
        <v>6770</v>
      </c>
      <c r="K46" s="358"/>
      <c r="L46" s="358"/>
      <c r="M46" s="358"/>
      <c r="N46" s="358"/>
      <c r="O46" s="358"/>
      <c r="P46" s="359"/>
      <c r="Q46" s="360"/>
      <c r="R46" s="215" t="str">
        <f ca="1">IF(ISERROR($V46),"",OFFSET('Smelter Look-up'!$C$4,$V46-4,0)&amp;"")</f>
        <v>JX Nippon Mining &amp; Metals Co., Ltd.</v>
      </c>
      <c r="S46" s="222" t="str">
        <f t="shared" ca="1" si="6"/>
        <v>JP</v>
      </c>
      <c r="T46" s="222" t="str">
        <f ca="1">IF(B46="","",IF(ISERROR(MATCH($J46,SorP!$B$1:$B$6230,0)),"",INDIRECT("'SorP'!$A$"&amp;MATCH($J46,SorP!$B$1:$B$6230,0))))</f>
        <v>JP-44</v>
      </c>
      <c r="U46" s="238"/>
      <c r="V46" s="270">
        <f>IF(C46="",NA(),MATCH($B46&amp;$C46,'Smelter Look-up'!$J:$J,0))</f>
        <v>128</v>
      </c>
      <c r="W46" s="271"/>
      <c r="X46" s="271">
        <f t="shared" si="7"/>
        <v>0</v>
      </c>
      <c r="Y46" s="271"/>
      <c r="Z46" s="271"/>
      <c r="AB46" s="273" t="str">
        <f t="shared" si="8"/>
        <v>GoldJX Nippon Mining &amp; Metals Co., Ltd.</v>
      </c>
    </row>
    <row r="47" spans="1:28" s="272" customFormat="1" ht="63.75">
      <c r="A47" s="324" t="s">
        <v>704</v>
      </c>
      <c r="B47" s="215" t="s">
        <v>1130</v>
      </c>
      <c r="C47" s="355" t="s">
        <v>57</v>
      </c>
      <c r="D47" s="278"/>
      <c r="E47" s="215" t="s">
        <v>1108</v>
      </c>
      <c r="F47" s="215" t="s">
        <v>704</v>
      </c>
      <c r="G47" s="215" t="s">
        <v>13459</v>
      </c>
      <c r="H47" s="356">
        <v>0</v>
      </c>
      <c r="I47" s="357" t="s">
        <v>1625</v>
      </c>
      <c r="J47" s="357" t="s">
        <v>1587</v>
      </c>
      <c r="K47" s="358"/>
      <c r="L47" s="358"/>
      <c r="M47" s="358"/>
      <c r="N47" s="358"/>
      <c r="O47" s="358"/>
      <c r="P47" s="359"/>
      <c r="Q47" s="360"/>
      <c r="R47" s="215" t="str">
        <f ca="1">IF(ISERROR($V47),"",OFFSET('Smelter Look-up'!$C$4,$V47-4,0)&amp;"")</f>
        <v>Matsuda Sangyo Co., Ltd.</v>
      </c>
      <c r="S47" s="222" t="str">
        <f t="shared" ca="1" si="6"/>
        <v>JP</v>
      </c>
      <c r="T47" s="222" t="str">
        <f ca="1">IF(B47="","",IF(ISERROR(MATCH($J47,SorP!$B$1:$B$6230,0)),"",INDIRECT("'SorP'!$A$"&amp;MATCH($J47,SorP!$B$1:$B$6230,0))))</f>
        <v>JP-11</v>
      </c>
      <c r="U47" s="238"/>
      <c r="V47" s="270">
        <f>IF(C47="",NA(),MATCH($B47&amp;$C47,'Smelter Look-up'!$J:$J,0))</f>
        <v>160</v>
      </c>
      <c r="W47" s="271"/>
      <c r="X47" s="271">
        <f t="shared" si="7"/>
        <v>0</v>
      </c>
      <c r="Y47" s="271"/>
      <c r="Z47" s="271"/>
      <c r="AB47" s="273" t="str">
        <f t="shared" si="8"/>
        <v>GoldMatsuda Sangyo Co., Ltd.</v>
      </c>
    </row>
    <row r="48" spans="1:28" s="272" customFormat="1" ht="76.5">
      <c r="A48" s="324" t="s">
        <v>710</v>
      </c>
      <c r="B48" s="215" t="s">
        <v>1130</v>
      </c>
      <c r="C48" s="355" t="s">
        <v>1164</v>
      </c>
      <c r="D48" s="278"/>
      <c r="E48" s="215" t="s">
        <v>1108</v>
      </c>
      <c r="F48" s="215" t="s">
        <v>710</v>
      </c>
      <c r="G48" s="215" t="s">
        <v>13459</v>
      </c>
      <c r="H48" s="356">
        <v>0</v>
      </c>
      <c r="I48" s="357" t="s">
        <v>1548</v>
      </c>
      <c r="J48" s="357" t="s">
        <v>1548</v>
      </c>
      <c r="K48" s="358"/>
      <c r="L48" s="358"/>
      <c r="M48" s="358"/>
      <c r="N48" s="358"/>
      <c r="O48" s="358"/>
      <c r="P48" s="359"/>
      <c r="Q48" s="360"/>
      <c r="R48" s="215" t="str">
        <f ca="1">IF(ISERROR($V48),"",OFFSET('Smelter Look-up'!$C$4,$V48-4,0)&amp;"")</f>
        <v>Mitsubishi Materials Corporation</v>
      </c>
      <c r="S48" s="222" t="str">
        <f t="shared" ca="1" si="6"/>
        <v>JP</v>
      </c>
      <c r="T48" s="222" t="str">
        <f ca="1">IF(B48="","",IF(ISERROR(MATCH($J48,SorP!$B$1:$B$6230,0)),"",INDIRECT("'SorP'!$A$"&amp;MATCH($J48,SorP!$B$1:$B$6230,0))))</f>
        <v>JP-13</v>
      </c>
      <c r="U48" s="238"/>
      <c r="V48" s="270">
        <f>IF(C48="",NA(),MATCH($B48&amp;$C48,'Smelter Look-up'!$J:$J,0))</f>
        <v>177</v>
      </c>
      <c r="W48" s="271"/>
      <c r="X48" s="271">
        <f t="shared" si="7"/>
        <v>0</v>
      </c>
      <c r="Y48" s="271"/>
      <c r="Z48" s="271"/>
      <c r="AB48" s="273" t="str">
        <f t="shared" si="8"/>
        <v>GoldMitsubishi Materials Corporation</v>
      </c>
    </row>
    <row r="49" spans="1:28" s="272" customFormat="1" ht="63.75">
      <c r="A49" s="324" t="s">
        <v>715</v>
      </c>
      <c r="B49" s="215" t="s">
        <v>1130</v>
      </c>
      <c r="C49" s="355" t="s">
        <v>2170</v>
      </c>
      <c r="D49" s="278"/>
      <c r="E49" s="215" t="s">
        <v>1108</v>
      </c>
      <c r="F49" s="215" t="s">
        <v>715</v>
      </c>
      <c r="G49" s="215" t="s">
        <v>13459</v>
      </c>
      <c r="H49" s="356">
        <v>0</v>
      </c>
      <c r="I49" s="357" t="s">
        <v>1640</v>
      </c>
      <c r="J49" s="357" t="s">
        <v>1641</v>
      </c>
      <c r="K49" s="358"/>
      <c r="L49" s="358"/>
      <c r="M49" s="358"/>
      <c r="N49" s="358"/>
      <c r="O49" s="358"/>
      <c r="P49" s="359"/>
      <c r="Q49" s="360"/>
      <c r="R49" s="215" t="str">
        <f ca="1">IF(ISERROR($V49),"",OFFSET('Smelter Look-up'!$C$4,$V49-4,0)&amp;"")</f>
        <v>Nihon Material Co., Ltd.</v>
      </c>
      <c r="S49" s="222" t="str">
        <f t="shared" ca="1" si="6"/>
        <v>JP</v>
      </c>
      <c r="T49" s="222" t="str">
        <f ca="1">IF(B49="","",IF(ISERROR(MATCH($J49,SorP!$B$1:$B$6230,0)),"",INDIRECT("'SorP'!$A$"&amp;MATCH($J49,SorP!$B$1:$B$6230,0))))</f>
        <v>JP-12</v>
      </c>
      <c r="U49" s="238"/>
      <c r="V49" s="270">
        <f>IF(C49="",NA(),MATCH($B49&amp;$C49,'Smelter Look-up'!$J:$J,0))</f>
        <v>188</v>
      </c>
      <c r="W49" s="271"/>
      <c r="X49" s="271">
        <f t="shared" si="7"/>
        <v>0</v>
      </c>
      <c r="Y49" s="271"/>
      <c r="Z49" s="271"/>
      <c r="AB49" s="273" t="str">
        <f t="shared" si="8"/>
        <v>GoldNihon Material Co., Ltd.</v>
      </c>
    </row>
    <row r="50" spans="1:28" s="272" customFormat="1" ht="76.5">
      <c r="A50" s="324" t="s">
        <v>731</v>
      </c>
      <c r="B50" s="215" t="s">
        <v>1130</v>
      </c>
      <c r="C50" s="355" t="s">
        <v>58</v>
      </c>
      <c r="D50" s="278"/>
      <c r="E50" s="215" t="s">
        <v>1108</v>
      </c>
      <c r="F50" s="215" t="s">
        <v>731</v>
      </c>
      <c r="G50" s="215" t="s">
        <v>13459</v>
      </c>
      <c r="H50" s="356">
        <v>0</v>
      </c>
      <c r="I50" s="357" t="s">
        <v>1670</v>
      </c>
      <c r="J50" s="357" t="s">
        <v>2231</v>
      </c>
      <c r="K50" s="358"/>
      <c r="L50" s="358"/>
      <c r="M50" s="358"/>
      <c r="N50" s="358"/>
      <c r="O50" s="358"/>
      <c r="P50" s="359"/>
      <c r="Q50" s="360"/>
      <c r="R50" s="215" t="str">
        <f ca="1">IF(ISERROR($V50),"",OFFSET('Smelter Look-up'!$C$4,$V50-4,0)&amp;"")</f>
        <v>Sumitomo Metal Mining Co., Ltd.</v>
      </c>
      <c r="S50" s="222" t="str">
        <f t="shared" ca="1" si="6"/>
        <v>JP</v>
      </c>
      <c r="T50" s="222" t="str">
        <f ca="1">IF(B50="","",IF(ISERROR(MATCH($J50,SorP!$B$1:$B$6230,0)),"",INDIRECT("'SorP'!$A$"&amp;MATCH($J50,SorP!$B$1:$B$6230,0))))</f>
        <v>JP-38</v>
      </c>
      <c r="U50" s="238"/>
      <c r="V50" s="270">
        <f>IF(C50="",NA(),MATCH($B50&amp;$C50,'Smelter Look-up'!$J:$J,0))</f>
        <v>259</v>
      </c>
      <c r="W50" s="271"/>
      <c r="X50" s="271">
        <f t="shared" si="7"/>
        <v>0</v>
      </c>
      <c r="Y50" s="271"/>
      <c r="Z50" s="271"/>
      <c r="AB50" s="273" t="str">
        <f t="shared" si="8"/>
        <v>GoldSumitomo Metal Mining Co., Ltd.</v>
      </c>
    </row>
    <row r="51" spans="1:28" s="272" customFormat="1" ht="63.75">
      <c r="A51" s="324" t="s">
        <v>732</v>
      </c>
      <c r="B51" s="215" t="s">
        <v>1130</v>
      </c>
      <c r="C51" s="355" t="s">
        <v>1233</v>
      </c>
      <c r="D51" s="278"/>
      <c r="E51" s="215" t="s">
        <v>1108</v>
      </c>
      <c r="F51" s="215" t="s">
        <v>732</v>
      </c>
      <c r="G51" s="215" t="s">
        <v>13459</v>
      </c>
      <c r="H51" s="356">
        <v>0</v>
      </c>
      <c r="I51" s="357" t="s">
        <v>1672</v>
      </c>
      <c r="J51" s="357" t="s">
        <v>1673</v>
      </c>
      <c r="K51" s="358"/>
      <c r="L51" s="358"/>
      <c r="M51" s="358"/>
      <c r="N51" s="358"/>
      <c r="O51" s="358"/>
      <c r="P51" s="359"/>
      <c r="Q51" s="360"/>
      <c r="R51" s="215" t="str">
        <f ca="1">IF(ISERROR($V51),"",OFFSET('Smelter Look-up'!$C$4,$V51-4,0)&amp;"")</f>
        <v>Tanaka Kikinzoku Kogyo K.K.</v>
      </c>
      <c r="S51" s="222" t="str">
        <f t="shared" ca="1" si="6"/>
        <v>JP</v>
      </c>
      <c r="T51" s="222" t="str">
        <f ca="1">IF(B51="","",IF(ISERROR(MATCH($J51,SorP!$B$1:$B$6230,0)),"",INDIRECT("'SorP'!$A$"&amp;MATCH($J51,SorP!$B$1:$B$6230,0))))</f>
        <v>JP-14</v>
      </c>
      <c r="U51" s="238"/>
      <c r="V51" s="270">
        <f>IF(C51="",NA(),MATCH($B51&amp;$C51,'Smelter Look-up'!$J:$J,0))</f>
        <v>271</v>
      </c>
      <c r="W51" s="271"/>
      <c r="X51" s="271">
        <f t="shared" si="7"/>
        <v>0</v>
      </c>
      <c r="Y51" s="271"/>
      <c r="Z51" s="271"/>
      <c r="AB51" s="273" t="str">
        <f t="shared" si="8"/>
        <v>GoldTanaka Kikinzoku Kogyo K.K.</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67" priority="58" stopIfTrue="1">
      <formula>IF(B586="",TRUE)</formula>
    </cfRule>
    <cfRule type="expression" dxfId="66" priority="69" stopIfTrue="1">
      <formula>IF(AND(COUNTIF(MetalSmelter,B586&amp;C586)=0,LEN(C586)&gt;0),TRUE,FALSE)</formula>
    </cfRule>
  </conditionalFormatting>
  <conditionalFormatting sqref="D586:D2504">
    <cfRule type="expression" dxfId="65" priority="52" stopIfTrue="1">
      <formula>IF(AND(LEN($C586)&gt;0,($C586&lt;&gt;"Smelter Not Listed")),1,0)</formula>
    </cfRule>
    <cfRule type="expression" dxfId="64" priority="77" stopIfTrue="1">
      <formula>IF(AND(D586="",$C586=$X$4),TRUE)</formula>
    </cfRule>
    <cfRule type="expression" dxfId="63" priority="78" stopIfTrue="1">
      <formula>IF(FIND("!",D586),TRUE)</formula>
    </cfRule>
  </conditionalFormatting>
  <conditionalFormatting sqref="G586:G2504">
    <cfRule type="expression" dxfId="62" priority="79" stopIfTrue="1">
      <formula>IF(FIND("Enter smelter details",G586),TRUE)</formula>
    </cfRule>
  </conditionalFormatting>
  <conditionalFormatting sqref="R586:R2505 E586:E2504">
    <cfRule type="expression" dxfId="61" priority="65" stopIfTrue="1">
      <formula>IF(AND(E586="",$C586=$X$4),TRUE)</formula>
    </cfRule>
    <cfRule type="expression" dxfId="60" priority="66" stopIfTrue="1">
      <formula>IF(FIND("!",E586),TRUE)</formula>
    </cfRule>
  </conditionalFormatting>
  <conditionalFormatting sqref="F586:F2504">
    <cfRule type="expression" dxfId="59" priority="56" stopIfTrue="1">
      <formula>IF(AND(LEN($A586)&gt;0,$A586&lt;&gt;$F586),TRUE,FALSE)</formula>
    </cfRule>
  </conditionalFormatting>
  <conditionalFormatting sqref="C586:C2504">
    <cfRule type="expression" dxfId="58" priority="55" stopIfTrue="1">
      <formula>IF(AND(B586&lt;&gt;"",C586=""),TRUE)</formula>
    </cfRule>
  </conditionalFormatting>
  <conditionalFormatting sqref="B52:B585">
    <cfRule type="expression" dxfId="57" priority="34" stopIfTrue="1">
      <formula>IF(B52="",TRUE)</formula>
    </cfRule>
    <cfRule type="expression" dxfId="56" priority="37" stopIfTrue="1">
      <formula>IF(AND(COUNTIF(MetalSmelter,B52&amp;C52)=0,LEN(C52)&gt;0),TRUE,FALSE)</formula>
    </cfRule>
  </conditionalFormatting>
  <conditionalFormatting sqref="D52:D585">
    <cfRule type="expression" dxfId="55" priority="31" stopIfTrue="1">
      <formula>IF(AND(LEN($C52)&gt;0,($C52&lt;&gt;"Smelter Not Listed")),1,0)</formula>
    </cfRule>
    <cfRule type="expression" dxfId="54" priority="38" stopIfTrue="1">
      <formula>IF(AND(D52="",$C52=$X$4),TRUE)</formula>
    </cfRule>
    <cfRule type="expression" dxfId="53" priority="39" stopIfTrue="1">
      <formula>IF(FIND("!",D52),TRUE)</formula>
    </cfRule>
  </conditionalFormatting>
  <conditionalFormatting sqref="G52:G585">
    <cfRule type="expression" dxfId="52" priority="40" stopIfTrue="1">
      <formula>IF(FIND("Enter smelter details",G52),TRUE)</formula>
    </cfRule>
  </conditionalFormatting>
  <conditionalFormatting sqref="R5:R585 E52:E585">
    <cfRule type="expression" dxfId="51" priority="35" stopIfTrue="1">
      <formula>IF(AND(E5="",$C5=$X$4),TRUE)</formula>
    </cfRule>
    <cfRule type="expression" dxfId="50" priority="36" stopIfTrue="1">
      <formula>IF(FIND("!",E5),TRUE)</formula>
    </cfRule>
  </conditionalFormatting>
  <conditionalFormatting sqref="F52:F585">
    <cfRule type="expression" dxfId="49" priority="33" stopIfTrue="1">
      <formula>IF(AND(LEN($A52)&gt;0,$A52&lt;&gt;$F52),TRUE,FALSE)</formula>
    </cfRule>
  </conditionalFormatting>
  <conditionalFormatting sqref="C52:C585">
    <cfRule type="expression" dxfId="48" priority="32" stopIfTrue="1">
      <formula>IF(AND(B52&lt;&gt;"",C52=""),TRUE)</formula>
    </cfRule>
  </conditionalFormatting>
  <conditionalFormatting sqref="B5:B40">
    <cfRule type="expression" dxfId="47" priority="14" stopIfTrue="1">
      <formula>IF(B5="",TRUE)</formula>
    </cfRule>
    <cfRule type="expression" dxfId="46" priority="17" stopIfTrue="1">
      <formula>IF(AND(COUNTIF(MetalSmelter,B5&amp;C5)=0,LEN(C5)&gt;0),TRUE,FALSE)</formula>
    </cfRule>
  </conditionalFormatting>
  <conditionalFormatting sqref="D5:D40">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40">
    <cfRule type="expression" dxfId="42" priority="20" stopIfTrue="1">
      <formula>IF(FIND("Enter smelter details",G5),TRUE)</formula>
    </cfRule>
  </conditionalFormatting>
  <conditionalFormatting sqref="E5:E40">
    <cfRule type="expression" dxfId="41" priority="15" stopIfTrue="1">
      <formula>IF(AND(E5="",$C5=$X$4),TRUE)</formula>
    </cfRule>
    <cfRule type="expression" dxfId="40" priority="16" stopIfTrue="1">
      <formula>IF(FIND("!",E5),TRUE)</formula>
    </cfRule>
  </conditionalFormatting>
  <conditionalFormatting sqref="F5:F40">
    <cfRule type="expression" dxfId="39" priority="13" stopIfTrue="1">
      <formula>IF(AND(LEN($A5)&gt;0,$A5&lt;&gt;$F5),TRUE,FALSE)</formula>
    </cfRule>
  </conditionalFormatting>
  <conditionalFormatting sqref="C5:C40">
    <cfRule type="expression" dxfId="38" priority="12" stopIfTrue="1">
      <formula>IF(AND(B5&lt;&gt;"",C5=""),TRUE)</formula>
    </cfRule>
  </conditionalFormatting>
  <conditionalFormatting sqref="B41:B51">
    <cfRule type="expression" dxfId="37" priority="4" stopIfTrue="1">
      <formula>IF(B41="",TRUE)</formula>
    </cfRule>
    <cfRule type="expression" dxfId="36" priority="7" stopIfTrue="1">
      <formula>IF(AND(COUNTIF(MetalSmelter,B41&amp;C41)=0,LEN(C41)&gt;0),TRUE,FALSE)</formula>
    </cfRule>
  </conditionalFormatting>
  <conditionalFormatting sqref="D41:D51">
    <cfRule type="expression" dxfId="35" priority="1" stopIfTrue="1">
      <formula>IF(AND(LEN($C41)&gt;0,($C41&lt;&gt;"Smelter Not Listed")),1,0)</formula>
    </cfRule>
    <cfRule type="expression" dxfId="34" priority="8" stopIfTrue="1">
      <formula>IF(AND(D41="",$C41=$X$4),TRUE)</formula>
    </cfRule>
    <cfRule type="expression" dxfId="33" priority="9" stopIfTrue="1">
      <formula>IF(FIND("!",D41),TRUE)</formula>
    </cfRule>
  </conditionalFormatting>
  <conditionalFormatting sqref="G41:G51">
    <cfRule type="expression" dxfId="32" priority="10" stopIfTrue="1">
      <formula>IF(FIND("Enter smelter details",G41),TRUE)</formula>
    </cfRule>
  </conditionalFormatting>
  <conditionalFormatting sqref="E41:E51">
    <cfRule type="expression" dxfId="31" priority="5" stopIfTrue="1">
      <formula>IF(AND(E41="",$C41=$X$4),TRUE)</formula>
    </cfRule>
    <cfRule type="expression" dxfId="30" priority="6" stopIfTrue="1">
      <formula>IF(FIND("!",E41),TRUE)</formula>
    </cfRule>
  </conditionalFormatting>
  <conditionalFormatting sqref="F41:F51">
    <cfRule type="expression" dxfId="29" priority="3" stopIfTrue="1">
      <formula>IF(AND(LEN($A41)&gt;0,$A41&lt;&gt;$F41),TRUE,FALSE)</formula>
    </cfRule>
  </conditionalFormatting>
  <conditionalFormatting sqref="C41:C51">
    <cfRule type="expression" dxfId="28" priority="2" stopIfTrue="1">
      <formula>IF(AND(B41&lt;&gt;"",C41=""),TRUE)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7" t="str">
        <f ca="1">OFFSET(L!$C$1,MATCH("Checker"&amp;ADDRESS(ROW(),COLUMN(),4),L!$A:$A,0)-1,SL,,)</f>
        <v>To ensure all required fields have been populated before submitting to your customers review form for any line items highlighted in red</v>
      </c>
      <c r="B1" s="457"/>
      <c r="C1" s="457"/>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Inova Semiconductors GmbH</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Walter Nissl</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WNissl@inova-semiconductors.de</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+49 89 / 45 74 75 - 768</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Malte Leisner</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MLeisner@inova-semiconductors.de</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44341</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Yes</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Yes</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1">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1">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1">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List'!AB$5:AB$2504,"Tantalum?*")&gt;0),0,1)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List'!AB$5:AB$2504,"Tin?*")&gt;0),0,1)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List'!AB$5:AB$2504,"Gold?*")&gt;0),0,1)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List'!AB$5:AB$2504,"Tungsten?*")&gt;0),0,1)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IF(F69=0,J69,IF(G69=0,I69,L69))</f>
        <v>N/A</v>
      </c>
      <c r="D69" s="108"/>
      <c r="E69" s="84"/>
      <c r="F69" s="107">
        <f>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9" t="str">
        <f ca="1">OFFSET(L!$C$1,MATCH("Product List"&amp;ADDRESS(ROW(),COLUMN(),4),L!$A:$A,0)-1,SL,,)</f>
        <v>Completion required only if reporting level "Product (or List of Products)" selected on the 'Declaration' worksheet.</v>
      </c>
      <c r="B1" s="460"/>
      <c r="C1" s="460"/>
      <c r="D1" s="460"/>
      <c r="E1" s="145"/>
    </row>
    <row r="2" spans="1:6">
      <c r="A2" s="29"/>
      <c r="B2" s="147"/>
      <c r="C2" s="147"/>
      <c r="D2"/>
      <c r="E2" s="30"/>
    </row>
    <row r="3" spans="1:6">
      <c r="A3" s="29"/>
      <c r="B3" s="147"/>
      <c r="C3" s="147"/>
      <c r="D3" s="147"/>
      <c r="E3" s="30"/>
    </row>
    <row r="4" spans="1:6" ht="15.75" customHeight="1">
      <c r="A4" s="29"/>
      <c r="B4" s="458" t="s">
        <v>898</v>
      </c>
      <c r="C4" s="458"/>
      <c r="D4" s="458"/>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61" t="str">
        <f ca="1">OFFSET(L!$C$1,MATCH("General"&amp;"Cpy",L!$A:$A,0)-1,SL,,)</f>
        <v>© 2021 Responsible Minerals Initiative. All rights reserved.</v>
      </c>
      <c r="C1001" s="461"/>
      <c r="D1001" s="461"/>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6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2"/>
      <c r="C1" s="462"/>
      <c r="D1" s="462"/>
      <c r="E1" s="462"/>
      <c r="F1" s="462"/>
      <c r="G1" s="462"/>
    </row>
    <row r="2" spans="1:16">
      <c r="A2" s="463"/>
      <c r="B2" s="463"/>
      <c r="C2" s="463"/>
      <c r="D2" s="463"/>
      <c r="E2" s="463"/>
      <c r="F2" s="463"/>
      <c r="G2" s="463"/>
      <c r="H2" s="463"/>
      <c r="I2" s="463"/>
    </row>
    <row r="3" spans="1:16">
      <c r="A3" s="463"/>
      <c r="B3" s="463"/>
      <c r="C3" s="463"/>
      <c r="D3" s="463"/>
      <c r="E3" s="463"/>
      <c r="F3" s="463"/>
      <c r="G3" s="463"/>
      <c r="H3" s="463"/>
      <c r="I3" s="463"/>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baseColWidth="10"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30">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6.7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05">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56.75">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8.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28.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56.2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70.7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0">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8.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schemas.microsoft.com/office/2006/documentManagement/types"/>
    <ds:schemaRef ds:uri="http://purl.org/dc/terms/"/>
    <ds:schemaRef ds:uri="060324a1-f66f-4c36-a8ec-beadbf2f4219"/>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Monika Zimmermann</cp:lastModifiedBy>
  <cp:lastPrinted>2015-04-21T20:47:43Z</cp:lastPrinted>
  <dcterms:created xsi:type="dcterms:W3CDTF">2010-06-21T21:00:23Z</dcterms:created>
  <dcterms:modified xsi:type="dcterms:W3CDTF">2021-05-26T05:54:09Z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